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isicoquim 1 2021-1\Unidad 2\"/>
    </mc:Choice>
  </mc:AlternateContent>
  <xr:revisionPtr revIDLastSave="0" documentId="13_ncr:1_{9746EAC4-DC10-43BF-A83B-8F5A959B2B82}" xr6:coauthVersionLast="45" xr6:coauthVersionMax="45" xr10:uidLastSave="{00000000-0000-0000-0000-000000000000}"/>
  <bookViews>
    <workbookView xWindow="-120" yWindow="-120" windowWidth="29040" windowHeight="15840" activeTab="3" xr2:uid="{F1EC4354-EED8-49B9-9734-FE357F811CFB}"/>
  </bookViews>
  <sheets>
    <sheet name="Presión" sheetId="2" r:id="rId1"/>
    <sheet name="Temperatura" sheetId="3" r:id="rId2"/>
    <sheet name="Cuadratica" sheetId="6" state="hidden" r:id="rId3"/>
    <sheet name="Volumen" sheetId="7" r:id="rId4"/>
    <sheet name="_SSC" sheetId="5" state="veryHidden" r:id="rId5"/>
  </sheets>
  <definedNames>
    <definedName name="_inputcolorcell" hidden="1">Temperatura!$C$3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3" l="1"/>
  <c r="B14" i="7"/>
  <c r="D14" i="7"/>
  <c r="C14" i="7"/>
  <c r="C13" i="3"/>
  <c r="C10" i="3"/>
  <c r="B84" i="7" l="1"/>
  <c r="B51" i="7"/>
  <c r="A14" i="7"/>
  <c r="C89" i="7" s="1"/>
  <c r="B22" i="7" s="1"/>
  <c r="C10" i="7"/>
  <c r="C92" i="7" s="1"/>
  <c r="B25" i="7" s="1"/>
  <c r="C8" i="7"/>
  <c r="C7" i="7"/>
  <c r="Q37" i="7" l="1"/>
  <c r="M37" i="7"/>
  <c r="C91" i="7"/>
  <c r="B24" i="7" s="1"/>
  <c r="C90" i="7"/>
  <c r="B23" i="7" s="1"/>
  <c r="C4" i="6"/>
  <c r="D5" i="6" s="1"/>
  <c r="B29" i="7" l="1"/>
  <c r="B31" i="7" s="1"/>
  <c r="B28" i="7"/>
  <c r="C55" i="6"/>
  <c r="C20" i="3"/>
  <c r="B15" i="3"/>
  <c r="C8" i="3"/>
  <c r="C7" i="3"/>
  <c r="B13" i="2"/>
  <c r="C10" i="2"/>
  <c r="C7" i="2"/>
  <c r="C6" i="2"/>
  <c r="B47" i="7" l="1"/>
  <c r="B30" i="7"/>
  <c r="B32" i="7" s="1"/>
  <c r="B33" i="7"/>
  <c r="B46" i="7"/>
  <c r="B14" i="2"/>
  <c r="C21" i="3"/>
  <c r="C5" i="6"/>
  <c r="C22" i="3"/>
  <c r="C6" i="6"/>
  <c r="B34" i="7" l="1"/>
  <c r="B35" i="7" s="1"/>
  <c r="B48" i="7"/>
  <c r="B49" i="7" s="1"/>
  <c r="B50" i="7" s="1"/>
  <c r="I55" i="6"/>
  <c r="I54" i="6"/>
  <c r="C52" i="6"/>
  <c r="D96" i="7" l="1"/>
  <c r="B52" i="7"/>
  <c r="E45" i="7" s="1"/>
  <c r="G45" i="7" s="1"/>
  <c r="B54" i="7"/>
  <c r="E47" i="7" s="1"/>
  <c r="G47" i="7" s="1"/>
  <c r="B53" i="7"/>
  <c r="E46" i="7" s="1"/>
  <c r="G46" i="7" s="1"/>
  <c r="B36" i="7"/>
  <c r="B37" i="7"/>
  <c r="C54" i="6"/>
  <c r="D10" i="6"/>
  <c r="D26" i="3" s="1"/>
  <c r="C53" i="6"/>
  <c r="D11" i="6"/>
  <c r="D27" i="3" s="1"/>
  <c r="I57" i="6"/>
  <c r="I60" i="6"/>
  <c r="I61" i="6"/>
  <c r="I58" i="6"/>
  <c r="H51" i="7" l="1"/>
  <c r="E51" i="7"/>
  <c r="M46" i="7"/>
  <c r="B38" i="7"/>
  <c r="B40" i="7"/>
  <c r="H53" i="7"/>
  <c r="E53" i="7"/>
  <c r="M48" i="7"/>
  <c r="H52" i="7"/>
  <c r="E52" i="7"/>
  <c r="M47" i="7"/>
  <c r="F53" i="6"/>
  <c r="F54" i="6"/>
  <c r="J55" i="6"/>
  <c r="J54" i="6"/>
  <c r="E56" i="7" l="1"/>
  <c r="E57" i="7"/>
  <c r="E58" i="7"/>
  <c r="F31" i="7"/>
  <c r="J31" i="7" s="1"/>
  <c r="F30" i="7"/>
  <c r="J30" i="7" s="1"/>
  <c r="B39" i="7"/>
  <c r="E29" i="7"/>
  <c r="I29" i="7" s="1"/>
  <c r="J61" i="6"/>
  <c r="J58" i="6"/>
  <c r="J60" i="6"/>
  <c r="J57" i="6"/>
  <c r="I63" i="6" s="1"/>
  <c r="F60" i="6"/>
  <c r="F57" i="6"/>
  <c r="C11" i="6"/>
  <c r="C27" i="3" s="1"/>
  <c r="C10" i="6"/>
  <c r="C26" i="3" s="1"/>
  <c r="B16" i="3" s="1"/>
  <c r="F59" i="6"/>
  <c r="F56" i="6"/>
  <c r="E31" i="7" l="1"/>
  <c r="I31" i="7" s="1"/>
  <c r="E30" i="7"/>
  <c r="I30" i="7" s="1"/>
  <c r="I35" i="7"/>
  <c r="E35" i="7"/>
  <c r="M33" i="7"/>
  <c r="C96" i="7"/>
  <c r="B85" i="7" s="1"/>
  <c r="F36" i="7"/>
  <c r="J36" i="7"/>
  <c r="N36" i="7"/>
  <c r="D97" i="7"/>
  <c r="F37" i="7"/>
  <c r="J37" i="7"/>
  <c r="R36" i="7"/>
  <c r="D98" i="7"/>
  <c r="F63" i="6"/>
  <c r="C15" i="6" s="1"/>
  <c r="F62" i="6"/>
  <c r="C14" i="6" s="1"/>
  <c r="I64" i="6"/>
  <c r="G40" i="7" l="1"/>
  <c r="E96" i="7" s="1"/>
  <c r="I36" i="7"/>
  <c r="E36" i="7"/>
  <c r="M30" i="7"/>
  <c r="M35" i="7" s="1"/>
  <c r="R30" i="7"/>
  <c r="N34" i="7" s="1"/>
  <c r="Q30" i="7"/>
  <c r="M34" i="7" s="1"/>
  <c r="N30" i="7"/>
  <c r="N35" i="7" s="1"/>
  <c r="M36" i="7"/>
  <c r="C97" i="7"/>
  <c r="E37" i="7"/>
  <c r="R31" i="7"/>
  <c r="R34" i="7" s="1"/>
  <c r="R38" i="7" s="1"/>
  <c r="N31" i="7"/>
  <c r="R35" i="7" s="1"/>
  <c r="Q31" i="7"/>
  <c r="Q34" i="7" s="1"/>
  <c r="M31" i="7"/>
  <c r="Q35" i="7" s="1"/>
  <c r="I37" i="7"/>
  <c r="Q36" i="7"/>
  <c r="C98" i="7"/>
  <c r="M38" i="7" l="1"/>
  <c r="G42" i="7"/>
  <c r="E98" i="7" s="1"/>
  <c r="Q38" i="7"/>
  <c r="N38" i="7"/>
  <c r="G41" i="7"/>
  <c r="E97" i="7" s="1"/>
</calcChain>
</file>

<file path=xl/sharedStrings.xml><?xml version="1.0" encoding="utf-8"?>
<sst xmlns="http://schemas.openxmlformats.org/spreadsheetml/2006/main" count="226" uniqueCount="156">
  <si>
    <t>Obtención de la presión de un gas con el modelo tipo Clausius</t>
  </si>
  <si>
    <t>Introducir los valores en las celdas de color amarillo</t>
  </si>
  <si>
    <t>Tc (K)</t>
  </si>
  <si>
    <t>V sistema( L/mol)</t>
  </si>
  <si>
    <t xml:space="preserve">Modelo </t>
  </si>
  <si>
    <t>pc (atm)</t>
  </si>
  <si>
    <r>
      <t>a (atmL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K/mol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</si>
  <si>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b (L/mol)</t>
  </si>
  <si>
    <t>R (atmL/molK)</t>
  </si>
  <si>
    <t>T sistema(K)</t>
  </si>
  <si>
    <t>c (L/mol)</t>
  </si>
  <si>
    <t>Vc (L/mol)</t>
  </si>
  <si>
    <t>p ideal (atm)</t>
  </si>
  <si>
    <t>p real (atm)</t>
  </si>
  <si>
    <t>A=</t>
  </si>
  <si>
    <t>B=</t>
  </si>
  <si>
    <t>C=</t>
  </si>
  <si>
    <t>x1=</t>
  </si>
  <si>
    <t>x2=</t>
  </si>
  <si>
    <r>
      <t>D</t>
    </r>
    <r>
      <rPr>
        <vertAlign val="superscript"/>
        <sz val="10"/>
        <rFont val="Arial"/>
        <family val="2"/>
      </rPr>
      <t>0,5</t>
    </r>
    <r>
      <rPr>
        <sz val="10"/>
        <rFont val="Arial"/>
        <family val="2"/>
      </rPr>
      <t>=</t>
    </r>
  </si>
  <si>
    <r>
      <t>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=</t>
    </r>
  </si>
  <si>
    <r>
      <t>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=</t>
    </r>
  </si>
  <si>
    <t>Dr. Juan Carlos Vázquez Lira UNAM FES Zaragoza 2020</t>
  </si>
  <si>
    <t>Con apoyo del programa DGAPA-UNAM-PAPIME PE-200419</t>
  </si>
  <si>
    <t>Obtención de ecuación cúbica de la temperatura tipo Clausius</t>
  </si>
  <si>
    <t>V sistema ( L/mol)</t>
  </si>
  <si>
    <t>p sistema (atm)</t>
  </si>
  <si>
    <r>
      <rPr>
        <b/>
        <sz val="10"/>
        <rFont val="Arial"/>
        <family val="2"/>
      </rPr>
      <t>T</t>
    </r>
    <r>
      <rPr>
        <b/>
        <vertAlign val="superscript"/>
        <sz val="10"/>
        <rFont val="Arial"/>
        <family val="2"/>
      </rPr>
      <t>2</t>
    </r>
  </si>
  <si>
    <t>T</t>
  </si>
  <si>
    <t>Cte</t>
  </si>
  <si>
    <t>T ideal (K)</t>
  </si>
  <si>
    <t>T real (K)</t>
  </si>
  <si>
    <r>
      <t>Resolución de la ecuación tipo  AT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 xml:space="preserve">+BT+C=0 </t>
    </r>
  </si>
  <si>
    <t>real</t>
  </si>
  <si>
    <t>imaginaria</t>
  </si>
  <si>
    <r>
      <t>T</t>
    </r>
    <r>
      <rPr>
        <b/>
        <vertAlign val="subscript"/>
        <sz val="12"/>
        <rFont val="Arial"/>
        <family val="2"/>
      </rPr>
      <t>1</t>
    </r>
  </si>
  <si>
    <r>
      <t>T</t>
    </r>
    <r>
      <rPr>
        <b/>
        <vertAlign val="subscript"/>
        <sz val="12"/>
        <rFont val="Arial"/>
        <family val="2"/>
      </rPr>
      <t>2</t>
    </r>
  </si>
  <si>
    <t>Con apoyo del programa UNAM-DGAPA-PAPIME PE-20419</t>
  </si>
  <si>
    <t>decimales</t>
  </si>
  <si>
    <t>Real</t>
  </si>
  <si>
    <t>Imaginaria</t>
  </si>
  <si>
    <t>{"IsHide":false,"HiddenInExcel":false,"SheetId":-1,"Name":"Presión","Guid":"V45M38","Index":1,"VisibleRange":"","SheetTheme":{"TabColor":"","BodyColor":"","BodyImage":""}}</t>
  </si>
  <si>
    <t>{"BrowserAndLocation":{"ConversionPath":"C:\\Users\\Usuario\\Documents\\SpreadsheetConverter","SelectedBrowsers":[]},"SpreadsheetServer":{"Username":"","Password":"","ServerUrl":""},"ConfigureSubmitDefault":{"Email":"drjvazque@unam.mx","Free":false,"Advanced":false,"AdvancedSecured":false,"Demo":true},"MessageBubble":{"Close":false,"TopMsg":0},"CustomizeTheme":{"Theme":"C:\\Users\\user\\AppData\\Roaming\\SpreadsheetConverter\\V8\\SupportFiles\\themes\\bootstrap\\css\\default-ssc-theme.css"},"QrSetting":{"ShowOnConversion":true},"CongratsPage":{"LastOpenedVersion":""},"WordPressPluginSetting":{"IsPluginInstalled":false},"Preferences":{"IsAdvancedSettingModelInitialize":true,"IsCaptchaInitialize":true,"IsNodeSettingInitialize":false,"IsRequiredFieldModalInitialize":true,"IsSubmitDialogModelInitialize":true,"IsToolbarButtonModelInitialize":true,"IsWizardButtonModelInitialize":true,"ReadFromHidden":false,"AdvancedSetting":null,"NodeSetting":{"LoginText":{"LoginButtonText":"Login","PageDescription":"Restricted access only","LoginErrorMessage":"Authentication failed, please check your username and password.","PlaceholderPassword":"password","PlaceholderUsername":"username / email","UserExtraMessage":""}},"Captcha":{"Heading":"Enter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 or invalid.","OkButton":"OK","DDLDefaultRequiredText":"Please Select"},"WizardButton":{"Next":"Next","Previous":"Previous","Cancel":"Cancel","Finish":"Finish"},"ToolbarButton":{"Submit":"Enviar","Print":"Imprimir","PrintAll":"Print All","Reset":"Resetear","Update":"Update","Back":"Back"},"SubmitDialog":{"SubmitDialogHeading":"Submit Successful.","SubmitDialogDesc":"The form was successfully submitted.","BeforeSubmitDesc":"The form is being submitted.","OfflineHeading":"Save until online","OfflineDesc":"You are currently offline and the submit failed. Do you want to save the submit and send it later when you are online.","OfflineConfirm":"Do you want to save?","OfflineSubmitHeading":"Offline forms submit confirmation","OfflineSubmitDesc":"There are Offline form(s), which are now ready to submit in server.","OfflineSubmitConfirm":"Do you want to submit?","FailOfflineHeading":"Offline Form submit failed","FailOfflineDesc":"Unable to connect to the Internet. Please try submitting the offline forms later in internet connection.","OfflineSubmitWait":"It may take sometime to finish all submits depending on the size of offline forms and internet connection.","OfflineSubmitWaitCounter":"Left","OfflineSubmitError":"Submit error: Please try later."}},"UxPreferences":null}</t>
  </si>
  <si>
    <r>
      <t>Solución ecuación Ax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+ Bx + C = 0</t>
    </r>
  </si>
  <si>
    <t xml:space="preserve"> A, B and C</t>
  </si>
  <si>
    <t>Decimales</t>
  </si>
  <si>
    <r>
      <t>Solucion x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=</t>
    </r>
  </si>
  <si>
    <r>
      <t>Solucion x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=</t>
    </r>
  </si>
  <si>
    <t>Soluciones</t>
  </si>
  <si>
    <r>
      <t>x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=</t>
    </r>
  </si>
  <si>
    <r>
      <t>x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=</t>
    </r>
  </si>
  <si>
    <t>Hulpbereik voor blad "Wortels 2e graadsvgl."</t>
  </si>
  <si>
    <t>Discrimin. D=</t>
  </si>
  <si>
    <t>Als D&gt;0 of D=0</t>
  </si>
  <si>
    <t>Als D&lt;0</t>
  </si>
  <si>
    <t>Re</t>
  </si>
  <si>
    <t>Im</t>
  </si>
  <si>
    <r>
      <t>(-D)</t>
    </r>
    <r>
      <rPr>
        <vertAlign val="superscript"/>
        <sz val="10"/>
        <rFont val="Arial"/>
        <family val="2"/>
      </rPr>
      <t>0,5</t>
    </r>
  </si>
  <si>
    <t>2a=</t>
  </si>
  <si>
    <t>Tekens t.b.v. notatie:</t>
  </si>
  <si>
    <t>Teken x1</t>
  </si>
  <si>
    <t>Tekens t.b.v. notatie</t>
  </si>
  <si>
    <t>Teken x2</t>
  </si>
  <si>
    <t>x1 en x2 als tekst:</t>
  </si>
  <si>
    <t xml:space="preserve">x1 </t>
  </si>
  <si>
    <t>x1 en x2 als tekst</t>
  </si>
  <si>
    <t>x2</t>
  </si>
  <si>
    <t>Complete tekst</t>
  </si>
  <si>
    <t>x1</t>
  </si>
  <si>
    <t>{"IsHide":false,"HiddenInExcel":false,"SheetId":-1,"Name":"Temperatura","Guid":"Y8TVLC","Index":2,"VisibleRange":"","SheetTheme":{"TabColor":"","BodyColor":"","BodyImage":""}}</t>
  </si>
  <si>
    <t>{"InputDetection":0,"RecalcMode":0,"Name":"","Flavor":0,"Edition":3,"CopyProtect":{"IsEnabled":false,"DomainName":""},"HideSscPoweredlogo":false,"AspnetConfig":{"BrowseUrl":"http://localhost/ssc","FileExtension":0},"NodeSecureLoginEnabled":false,"SmartphoneSettings":{"ViewportLock":true,"UseOldViewEngine":false,"EnableZoom":false,"EnableSwipe":false,"HideToolbar":false,"InheritBackgroundColor":false,"CheckboxFlavor":1,"ShowBubble":false},"SmartphoneTheme":1,"Theme":{"BgColor":"#FFFFFFFF","BgImage":"","InputBorderStyle":2,"AppliedTheme":""},"Layout":0,"LayoutSamePagesHeightEnabled":false,"Toolbar":{"Position":1,"IsSubmit":false,"IsPrint":true,"IsPrintAll":false,"IsReset":true,"IsUpdate":false},"ConfigureSubmit":{"IsShowCaptcha":false,"IsUseSscWebServer":true,"ReceiverCode":"drjvazque@unam.mx","IsFreeService":false,"IsAdvanceService":false,"IsSecureEmail":false,"IsDemonstrationService":true,"AfterSuccessfulSubmit":"","AfterFailSubmit":"","AfterCancelWizard":"","IsUseOwnWebServer":false,"OwnWebServerURL":"","OwnWebServerTarget":"","SubmitTarget":0},"IgnoreBgInputCell":false,"ButtonStyle":0,"ResponsiveDesignDisabled":false,"HideLookupRange":false,"BrowserStorageEnabled":false,"RealtimeSyncEnabled":false,"GoogleAnalyticsTrackingId":"","GoogleApiKey":"","ChartSelected":2,"ChartYAxisFixed":false}</t>
  </si>
  <si>
    <t>{"IsHide":false,"HiddenInExcel":false,"SheetId":-1,"Name":"Cuadratica","Guid":"8SXHFW","Index":3,"VisibleRange":"","SheetTheme":{"TabColor":"","BodyColor":"","BodyImage":""}}</t>
  </si>
  <si>
    <t>Obtención de la ecuación cúbica del volumen modelo Clausius</t>
  </si>
  <si>
    <t>T sistema (K)</t>
  </si>
  <si>
    <r>
      <rPr>
        <b/>
        <sz val="10"/>
        <rFont val="Arial"/>
        <family val="2"/>
      </rPr>
      <t>V</t>
    </r>
    <r>
      <rPr>
        <b/>
        <vertAlign val="superscript"/>
        <sz val="10"/>
        <rFont val="Arial"/>
        <family val="2"/>
      </rPr>
      <t>3</t>
    </r>
  </si>
  <si>
    <r>
      <rPr>
        <b/>
        <sz val="10"/>
        <rFont val="Arial"/>
        <family val="2"/>
      </rPr>
      <t>V</t>
    </r>
    <r>
      <rPr>
        <b/>
        <vertAlign val="superscript"/>
        <sz val="10"/>
        <rFont val="Arial"/>
        <family val="2"/>
      </rPr>
      <t>2</t>
    </r>
  </si>
  <si>
    <t>V</t>
  </si>
  <si>
    <t>Copies of A, B, C and D</t>
  </si>
  <si>
    <t>D=</t>
  </si>
  <si>
    <t>Formulae below if D&gt;0 of D=0</t>
  </si>
  <si>
    <t>Tussenresultaten</t>
  </si>
  <si>
    <t>p=</t>
  </si>
  <si>
    <t>re</t>
  </si>
  <si>
    <t>im</t>
  </si>
  <si>
    <t>Check</t>
  </si>
  <si>
    <t>q=</t>
  </si>
  <si>
    <t>y1=</t>
  </si>
  <si>
    <t>so</t>
  </si>
  <si>
    <t>p/3=</t>
  </si>
  <si>
    <t>y2=</t>
  </si>
  <si>
    <r>
      <t>x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2</t>
    </r>
  </si>
  <si>
    <r>
      <t>x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3</t>
    </r>
  </si>
  <si>
    <t>q/2=</t>
  </si>
  <si>
    <t>y3=</t>
  </si>
  <si>
    <t>x3=</t>
  </si>
  <si>
    <r>
      <t>x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2"/>
      </rPr>
      <t>2</t>
    </r>
  </si>
  <si>
    <r>
      <t>x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2"/>
      </rPr>
      <t>3</t>
    </r>
  </si>
  <si>
    <r>
      <t>(p/3)</t>
    </r>
    <r>
      <rPr>
        <vertAlign val="superscript"/>
        <sz val="10"/>
        <rFont val="Arial"/>
        <family val="2"/>
      </rPr>
      <t>3</t>
    </r>
  </si>
  <si>
    <t>Controle voor x1, x2 en x3: hier moeten, als D&gt;=0 nullen of "bijna nullen" staan</t>
  </si>
  <si>
    <r>
      <t>(q/2)</t>
    </r>
    <r>
      <rPr>
        <vertAlign val="superscript"/>
        <sz val="10"/>
        <rFont val="Arial"/>
        <family val="2"/>
      </rPr>
      <t>2</t>
    </r>
  </si>
  <si>
    <t xml:space="preserve">Convert results to text </t>
  </si>
  <si>
    <r>
      <t>x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ingevuld</t>
    </r>
  </si>
  <si>
    <t>Signs</t>
  </si>
  <si>
    <t>getal&gt;tekst</t>
  </si>
  <si>
    <r>
      <t>A*x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3</t>
    </r>
  </si>
  <si>
    <r>
      <t>A*x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2"/>
      </rPr>
      <t>3</t>
    </r>
  </si>
  <si>
    <t>..of x1</t>
  </si>
  <si>
    <r>
      <t>B*x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2</t>
    </r>
  </si>
  <si>
    <r>
      <t>B*x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2"/>
      </rPr>
      <t>2</t>
    </r>
  </si>
  <si>
    <t>u=</t>
  </si>
  <si>
    <t>..of x2</t>
  </si>
  <si>
    <r>
      <t>C*x</t>
    </r>
    <r>
      <rPr>
        <vertAlign val="subscript"/>
        <sz val="10"/>
        <rFont val="Arial"/>
        <family val="2"/>
      </rPr>
      <t>2</t>
    </r>
  </si>
  <si>
    <r>
      <t>C*x</t>
    </r>
    <r>
      <rPr>
        <vertAlign val="subscript"/>
        <sz val="10"/>
        <rFont val="Arial"/>
        <family val="2"/>
      </rPr>
      <t>3</t>
    </r>
  </si>
  <si>
    <t>v=</t>
  </si>
  <si>
    <t>..of x3</t>
  </si>
  <si>
    <t>D</t>
  </si>
  <si>
    <t>u + v =</t>
  </si>
  <si>
    <r>
      <t>x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ingevuld</t>
    </r>
  </si>
  <si>
    <r>
      <t>x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ingevuld</t>
    </r>
  </si>
  <si>
    <t>(u+v ) / 2 =</t>
  </si>
  <si>
    <t>Results as text</t>
  </si>
  <si>
    <t>(u-v ) / 2 =</t>
  </si>
  <si>
    <t>D&lt;0</t>
  </si>
  <si>
    <r>
      <t>y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=</t>
    </r>
  </si>
  <si>
    <t>Controle: hieronder moeten (als D&lt;0) nullen of "bijna nullen" staan</t>
  </si>
  <si>
    <r>
      <t>y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=</t>
    </r>
  </si>
  <si>
    <r>
      <t>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ingevuld</t>
    </r>
  </si>
  <si>
    <t>|p|/3 =</t>
  </si>
  <si>
    <r>
      <t>y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=</t>
    </r>
  </si>
  <si>
    <r>
      <t>x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=</t>
    </r>
  </si>
  <si>
    <r>
      <t>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ingevuld</t>
    </r>
  </si>
  <si>
    <r>
      <t>(|p|/3)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=</t>
    </r>
  </si>
  <si>
    <r>
      <t>x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ingevuld</t>
    </r>
  </si>
  <si>
    <r>
      <t>(|p|/3)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0,5</t>
    </r>
    <r>
      <rPr>
        <sz val="10"/>
        <rFont val="Arial"/>
        <family val="2"/>
      </rPr>
      <t xml:space="preserve"> =</t>
    </r>
  </si>
  <si>
    <t>Voorbewerking om resultaten van x als tekst op te maken.</t>
  </si>
  <si>
    <r>
      <t xml:space="preserve">j </t>
    </r>
    <r>
      <rPr>
        <sz val="10"/>
        <rFont val="Arial"/>
        <family val="2"/>
      </rPr>
      <t xml:space="preserve"> (in rad.)=</t>
    </r>
  </si>
  <si>
    <t>Tekens..</t>
  </si>
  <si>
    <r>
      <t>60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 rad.=</t>
    </r>
  </si>
  <si>
    <r>
      <t>..van x</t>
    </r>
    <r>
      <rPr>
        <vertAlign val="subscript"/>
        <sz val="10"/>
        <rFont val="Arial"/>
        <family val="2"/>
      </rPr>
      <t>1</t>
    </r>
  </si>
  <si>
    <r>
      <t>..van 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</si>
  <si>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r>
      <t>j</t>
    </r>
    <r>
      <rPr>
        <sz val="10"/>
        <rFont val="Arial"/>
        <family val="2"/>
      </rPr>
      <t>/3</t>
    </r>
    <r>
      <rPr>
        <sz val="10"/>
        <rFont val="Symbol"/>
        <family val="1"/>
        <charset val="2"/>
      </rPr>
      <t>=</t>
    </r>
  </si>
  <si>
    <r>
      <t>..van x</t>
    </r>
    <r>
      <rPr>
        <vertAlign val="subscript"/>
        <sz val="10"/>
        <rFont val="Arial"/>
        <family val="2"/>
      </rPr>
      <t>2</t>
    </r>
  </si>
  <si>
    <r>
      <t>..van 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</si>
  <si>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>j</t>
    </r>
    <r>
      <rPr>
        <sz val="10"/>
        <rFont val="Arial"/>
        <family val="2"/>
      </rPr>
      <t>/3 - 60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=</t>
    </r>
  </si>
  <si>
    <r>
      <t>..van x</t>
    </r>
    <r>
      <rPr>
        <vertAlign val="subscript"/>
        <sz val="10"/>
        <rFont val="Arial"/>
        <family val="2"/>
      </rPr>
      <t>3</t>
    </r>
  </si>
  <si>
    <r>
      <t>..van x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</si>
  <si>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r>
      <t>j</t>
    </r>
    <r>
      <rPr>
        <sz val="10"/>
        <rFont val="Arial"/>
        <family val="2"/>
      </rPr>
      <t>/3 +60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=</t>
    </r>
  </si>
  <si>
    <t>Resultaten van x als tekst opgemaakt:</t>
  </si>
  <si>
    <t>V ideal (L/mol)</t>
  </si>
  <si>
    <t>V real (L/mol)</t>
  </si>
  <si>
    <r>
      <t>Resolución de la ecuación  tipo  AV</t>
    </r>
    <r>
      <rPr>
        <b/>
        <vertAlign val="superscript"/>
        <sz val="14"/>
        <rFont val="Arial"/>
        <family val="2"/>
      </rPr>
      <t>3</t>
    </r>
    <r>
      <rPr>
        <b/>
        <sz val="14"/>
        <rFont val="Arial"/>
        <family val="2"/>
      </rPr>
      <t>+BV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 xml:space="preserve">+CV+D=0 </t>
    </r>
  </si>
  <si>
    <t xml:space="preserve">Expresión </t>
  </si>
  <si>
    <r>
      <t xml:space="preserve"> V</t>
    </r>
    <r>
      <rPr>
        <b/>
        <vertAlign val="subscript"/>
        <sz val="13"/>
        <color theme="0"/>
        <rFont val="Calibri"/>
        <family val="2"/>
        <scheme val="minor"/>
      </rPr>
      <t>1</t>
    </r>
    <r>
      <rPr>
        <b/>
        <sz val="13"/>
        <color theme="0"/>
        <rFont val="Calibri"/>
        <family val="2"/>
        <scheme val="minor"/>
      </rPr>
      <t>=</t>
    </r>
  </si>
  <si>
    <r>
      <t xml:space="preserve"> V</t>
    </r>
    <r>
      <rPr>
        <b/>
        <vertAlign val="subscript"/>
        <sz val="13"/>
        <color theme="0"/>
        <rFont val="Calibri"/>
        <family val="2"/>
        <scheme val="minor"/>
      </rPr>
      <t>2</t>
    </r>
    <r>
      <rPr>
        <b/>
        <sz val="13"/>
        <color theme="0"/>
        <rFont val="Calibri"/>
        <family val="2"/>
        <scheme val="minor"/>
      </rPr>
      <t>=</t>
    </r>
  </si>
  <si>
    <r>
      <t>V</t>
    </r>
    <r>
      <rPr>
        <b/>
        <vertAlign val="subscript"/>
        <sz val="13"/>
        <color theme="0"/>
        <rFont val="Calibri"/>
        <family val="2"/>
        <scheme val="minor"/>
      </rPr>
      <t>3</t>
    </r>
    <r>
      <rPr>
        <b/>
        <sz val="13"/>
        <color theme="0"/>
        <rFont val="Calibri"/>
        <family val="2"/>
        <scheme val="minor"/>
      </rPr>
      <t>=</t>
    </r>
  </si>
  <si>
    <t>Dr. Juan Carlos Vázquez Lira UNAM FES Zaragoza 2020 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</si>
</sst>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0000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4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13"/>
      <color theme="0"/>
      <name val="Calibri"/>
      <family val="2"/>
      <scheme val="minor"/>
    </font>
    <font>
      <sz val="10"/>
      <name val="Symbol"/>
      <family val="1"/>
      <charset val="2"/>
    </font>
    <font>
      <b/>
      <vertAlign val="subscript"/>
      <sz val="13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/>
  </cellStyleXfs>
  <cellXfs count="149">
    <xf numFmtId="0" fontId="0" fillId="0" borderId="0" xfId="0"/>
    <xf numFmtId="0" fontId="3" fillId="0" borderId="0" xfId="2" applyFont="1"/>
    <xf numFmtId="0" fontId="2" fillId="0" borderId="0" xfId="2"/>
    <xf numFmtId="0" fontId="2" fillId="4" borderId="0" xfId="2" applyFill="1"/>
    <xf numFmtId="0" fontId="4" fillId="5" borderId="2" xfId="2" applyFont="1" applyFill="1" applyBorder="1"/>
    <xf numFmtId="0" fontId="2" fillId="5" borderId="3" xfId="2" applyFill="1" applyBorder="1"/>
    <xf numFmtId="0" fontId="4" fillId="5" borderId="5" xfId="2" applyFont="1" applyFill="1" applyBorder="1" applyAlignment="1">
      <alignment horizontal="left"/>
    </xf>
    <xf numFmtId="0" fontId="4" fillId="5" borderId="6" xfId="2" applyFont="1" applyFill="1" applyBorder="1" applyAlignment="1">
      <alignment horizontal="left"/>
    </xf>
    <xf numFmtId="164" fontId="5" fillId="4" borderId="4" xfId="2" applyNumberFormat="1" applyFont="1" applyFill="1" applyBorder="1" applyAlignment="1" applyProtection="1">
      <alignment horizontal="center"/>
      <protection locked="0"/>
    </xf>
    <xf numFmtId="0" fontId="4" fillId="0" borderId="0" xfId="2" applyFont="1"/>
    <xf numFmtId="164" fontId="5" fillId="6" borderId="4" xfId="2" applyNumberFormat="1" applyFont="1" applyFill="1" applyBorder="1" applyAlignment="1" applyProtection="1">
      <alignment horizontal="center"/>
      <protection hidden="1"/>
    </xf>
    <xf numFmtId="0" fontId="4" fillId="5" borderId="5" xfId="2" applyFont="1" applyFill="1" applyBorder="1"/>
    <xf numFmtId="0" fontId="2" fillId="5" borderId="6" xfId="2" applyFill="1" applyBorder="1"/>
    <xf numFmtId="165" fontId="4" fillId="4" borderId="4" xfId="2" applyNumberFormat="1" applyFont="1" applyFill="1" applyBorder="1" applyAlignment="1" applyProtection="1">
      <alignment horizontal="center"/>
      <protection locked="0"/>
    </xf>
    <xf numFmtId="2" fontId="4" fillId="4" borderId="4" xfId="2" applyNumberFormat="1" applyFont="1" applyFill="1" applyBorder="1" applyAlignment="1" applyProtection="1">
      <alignment horizontal="center"/>
      <protection locked="0"/>
    </xf>
    <xf numFmtId="0" fontId="6" fillId="5" borderId="6" xfId="2" applyFont="1" applyFill="1" applyBorder="1" applyAlignment="1">
      <alignment horizontal="center"/>
    </xf>
    <xf numFmtId="164" fontId="4" fillId="6" borderId="4" xfId="2" applyNumberFormat="1" applyFont="1" applyFill="1" applyBorder="1" applyAlignment="1" applyProtection="1">
      <alignment horizontal="center"/>
      <protection hidden="1"/>
    </xf>
    <xf numFmtId="0" fontId="4" fillId="0" borderId="0" xfId="2" applyFont="1" applyAlignment="1">
      <alignment horizontal="center"/>
    </xf>
    <xf numFmtId="0" fontId="4" fillId="5" borderId="7" xfId="2" applyFont="1" applyFill="1" applyBorder="1" applyAlignment="1">
      <alignment horizontal="left"/>
    </xf>
    <xf numFmtId="0" fontId="2" fillId="5" borderId="8" xfId="2" applyFill="1" applyBorder="1" applyAlignment="1">
      <alignment horizontal="center"/>
    </xf>
    <xf numFmtId="164" fontId="4" fillId="4" borderId="4" xfId="2" applyNumberFormat="1" applyFont="1" applyFill="1" applyBorder="1" applyAlignment="1" applyProtection="1">
      <alignment horizontal="center"/>
      <protection locked="0"/>
    </xf>
    <xf numFmtId="0" fontId="2" fillId="0" borderId="0" xfId="2" applyAlignment="1">
      <alignment horizontal="center"/>
    </xf>
    <xf numFmtId="0" fontId="4" fillId="0" borderId="9" xfId="2" applyFont="1" applyBorder="1" applyAlignment="1">
      <alignment vertical="center"/>
    </xf>
    <xf numFmtId="0" fontId="3" fillId="7" borderId="0" xfId="2" applyFont="1" applyFill="1"/>
    <xf numFmtId="0" fontId="2" fillId="8" borderId="0" xfId="2" applyFill="1"/>
    <xf numFmtId="0" fontId="4" fillId="8" borderId="0" xfId="2" applyFont="1" applyFill="1" applyAlignment="1">
      <alignment horizontal="center"/>
    </xf>
    <xf numFmtId="164" fontId="4" fillId="8" borderId="0" xfId="2" applyNumberFormat="1" applyFont="1" applyFill="1"/>
    <xf numFmtId="0" fontId="2" fillId="8" borderId="0" xfId="2" applyFill="1" applyAlignment="1">
      <alignment horizontal="left"/>
    </xf>
    <xf numFmtId="0" fontId="2" fillId="8" borderId="0" xfId="2" applyFill="1" applyAlignment="1" applyProtection="1">
      <alignment horizontal="right"/>
      <protection locked="0"/>
    </xf>
    <xf numFmtId="0" fontId="2" fillId="8" borderId="0" xfId="2" applyFill="1" applyAlignment="1">
      <alignment horizontal="right"/>
    </xf>
    <xf numFmtId="0" fontId="2" fillId="8" borderId="0" xfId="2" applyFill="1" applyAlignment="1">
      <alignment horizontal="center"/>
    </xf>
    <xf numFmtId="0" fontId="1" fillId="8" borderId="0" xfId="1" applyFill="1" applyBorder="1" applyAlignment="1">
      <alignment horizontal="center"/>
    </xf>
    <xf numFmtId="166" fontId="2" fillId="8" borderId="0" xfId="2" applyNumberFormat="1" applyFill="1" applyAlignment="1">
      <alignment horizontal="center"/>
    </xf>
    <xf numFmtId="0" fontId="4" fillId="5" borderId="0" xfId="2" applyFont="1" applyFill="1"/>
    <xf numFmtId="0" fontId="2" fillId="5" borderId="0" xfId="2" applyFill="1"/>
    <xf numFmtId="2" fontId="4" fillId="4" borderId="9" xfId="2" applyNumberFormat="1" applyFont="1" applyFill="1" applyBorder="1" applyAlignment="1" applyProtection="1">
      <alignment horizontal="center"/>
      <protection locked="0"/>
    </xf>
    <xf numFmtId="0" fontId="4" fillId="5" borderId="0" xfId="2" applyFont="1" applyFill="1" applyAlignment="1">
      <alignment horizontal="left"/>
    </xf>
    <xf numFmtId="2" fontId="5" fillId="4" borderId="9" xfId="2" applyNumberFormat="1" applyFont="1" applyFill="1" applyBorder="1" applyAlignment="1" applyProtection="1">
      <alignment horizontal="center"/>
      <protection locked="0"/>
    </xf>
    <xf numFmtId="164" fontId="5" fillId="4" borderId="9" xfId="2" applyNumberFormat="1" applyFont="1" applyFill="1" applyBorder="1" applyAlignment="1" applyProtection="1">
      <alignment horizontal="center"/>
      <protection locked="0"/>
    </xf>
    <xf numFmtId="164" fontId="5" fillId="6" borderId="9" xfId="2" applyNumberFormat="1" applyFont="1" applyFill="1" applyBorder="1" applyAlignment="1" applyProtection="1">
      <alignment horizontal="center"/>
      <protection hidden="1"/>
    </xf>
    <xf numFmtId="165" fontId="4" fillId="4" borderId="9" xfId="2" applyNumberFormat="1" applyFont="1" applyFill="1" applyBorder="1" applyAlignment="1" applyProtection="1">
      <alignment horizontal="center"/>
      <protection locked="0"/>
    </xf>
    <xf numFmtId="164" fontId="4" fillId="6" borderId="9" xfId="2" applyNumberFormat="1" applyFont="1" applyFill="1" applyBorder="1" applyAlignment="1" applyProtection="1">
      <alignment horizontal="center"/>
      <protection hidden="1"/>
    </xf>
    <xf numFmtId="164" fontId="4" fillId="4" borderId="10" xfId="2" applyNumberFormat="1" applyFont="1" applyFill="1" applyBorder="1" applyAlignment="1" applyProtection="1">
      <alignment horizontal="center"/>
      <protection locked="0"/>
    </xf>
    <xf numFmtId="0" fontId="6" fillId="0" borderId="2" xfId="2" applyFont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4" fillId="0" borderId="11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164" fontId="4" fillId="0" borderId="7" xfId="2" applyNumberFormat="1" applyFont="1" applyBorder="1" applyAlignment="1">
      <alignment horizontal="center"/>
    </xf>
    <xf numFmtId="164" fontId="4" fillId="0" borderId="12" xfId="2" applyNumberFormat="1" applyFont="1" applyBorder="1" applyAlignment="1">
      <alignment horizontal="center"/>
    </xf>
    <xf numFmtId="164" fontId="4" fillId="0" borderId="8" xfId="2" applyNumberFormat="1" applyFont="1" applyBorder="1" applyAlignment="1">
      <alignment horizontal="center"/>
    </xf>
    <xf numFmtId="0" fontId="4" fillId="0" borderId="13" xfId="2" applyFont="1" applyBorder="1" applyAlignment="1">
      <alignment vertical="center"/>
    </xf>
    <xf numFmtId="0" fontId="4" fillId="8" borderId="14" xfId="2" applyFont="1" applyFill="1" applyBorder="1" applyAlignment="1">
      <alignment vertical="center"/>
    </xf>
    <xf numFmtId="0" fontId="4" fillId="8" borderId="0" xfId="2" applyFont="1" applyFill="1"/>
    <xf numFmtId="0" fontId="4" fillId="7" borderId="9" xfId="2" applyFont="1" applyFill="1" applyBorder="1" applyAlignment="1">
      <alignment horizontal="center"/>
    </xf>
    <xf numFmtId="164" fontId="4" fillId="3" borderId="9" xfId="2" applyNumberFormat="1" applyFont="1" applyFill="1" applyBorder="1"/>
    <xf numFmtId="0" fontId="4" fillId="6" borderId="9" xfId="2" applyFont="1" applyFill="1" applyBorder="1" applyAlignment="1" applyProtection="1">
      <alignment horizontal="center"/>
      <protection hidden="1"/>
    </xf>
    <xf numFmtId="0" fontId="12" fillId="3" borderId="9" xfId="2" applyFont="1" applyFill="1" applyBorder="1" applyAlignment="1">
      <alignment horizontal="center"/>
    </xf>
    <xf numFmtId="165" fontId="5" fillId="6" borderId="9" xfId="2" applyNumberFormat="1" applyFont="1" applyFill="1" applyBorder="1" applyAlignment="1" applyProtection="1">
      <alignment horizontal="center"/>
      <protection hidden="1"/>
    </xf>
    <xf numFmtId="0" fontId="14" fillId="8" borderId="0" xfId="1" applyFont="1" applyFill="1" applyBorder="1" applyAlignment="1">
      <alignment horizontal="center"/>
    </xf>
    <xf numFmtId="166" fontId="4" fillId="8" borderId="0" xfId="2" applyNumberFormat="1" applyFont="1" applyFill="1" applyAlignment="1">
      <alignment horizontal="center"/>
    </xf>
    <xf numFmtId="0" fontId="4" fillId="7" borderId="15" xfId="2" applyFont="1" applyFill="1" applyBorder="1" applyAlignment="1">
      <alignment horizontal="center"/>
    </xf>
    <xf numFmtId="0" fontId="4" fillId="7" borderId="17" xfId="2" applyFont="1" applyFill="1" applyBorder="1" applyAlignment="1">
      <alignment horizontal="center"/>
    </xf>
    <xf numFmtId="0" fontId="2" fillId="0" borderId="0" xfId="2" applyAlignment="1">
      <alignment horizontal="right"/>
    </xf>
    <xf numFmtId="0" fontId="3" fillId="8" borderId="0" xfId="2" applyFont="1" applyFill="1"/>
    <xf numFmtId="0" fontId="2" fillId="0" borderId="0" xfId="2" applyAlignment="1">
      <alignment horizontal="left"/>
    </xf>
    <xf numFmtId="0" fontId="4" fillId="7" borderId="22" xfId="2" applyFont="1" applyFill="1" applyBorder="1" applyAlignment="1">
      <alignment horizontal="center"/>
    </xf>
    <xf numFmtId="0" fontId="2" fillId="11" borderId="19" xfId="2" applyFill="1" applyBorder="1" applyAlignment="1">
      <alignment horizontal="right"/>
    </xf>
    <xf numFmtId="0" fontId="2" fillId="11" borderId="21" xfId="2" applyFill="1" applyBorder="1"/>
    <xf numFmtId="0" fontId="4" fillId="13" borderId="19" xfId="2" applyFont="1" applyFill="1" applyBorder="1" applyAlignment="1">
      <alignment horizontal="center"/>
    </xf>
    <xf numFmtId="0" fontId="4" fillId="13" borderId="21" xfId="2" applyFont="1" applyFill="1" applyBorder="1" applyAlignment="1">
      <alignment horizontal="center"/>
    </xf>
    <xf numFmtId="0" fontId="4" fillId="13" borderId="13" xfId="2" applyFont="1" applyFill="1" applyBorder="1" applyAlignment="1">
      <alignment horizontal="right"/>
    </xf>
    <xf numFmtId="0" fontId="2" fillId="13" borderId="25" xfId="2" applyFill="1" applyBorder="1" applyAlignment="1">
      <alignment horizontal="center"/>
    </xf>
    <xf numFmtId="0" fontId="4" fillId="13" borderId="14" xfId="2" applyFont="1" applyFill="1" applyBorder="1" applyAlignment="1">
      <alignment horizontal="right"/>
    </xf>
    <xf numFmtId="0" fontId="2" fillId="13" borderId="23" xfId="2" applyFill="1" applyBorder="1" applyAlignment="1">
      <alignment horizontal="center"/>
    </xf>
    <xf numFmtId="0" fontId="4" fillId="13" borderId="2" xfId="2" applyFont="1" applyFill="1" applyBorder="1" applyAlignment="1">
      <alignment horizontal="right" vertical="center"/>
    </xf>
    <xf numFmtId="0" fontId="2" fillId="13" borderId="11" xfId="2" applyFill="1" applyBorder="1" applyAlignment="1">
      <alignment horizontal="left" vertical="center"/>
    </xf>
    <xf numFmtId="0" fontId="4" fillId="13" borderId="7" xfId="2" applyFont="1" applyFill="1" applyBorder="1" applyAlignment="1">
      <alignment horizontal="right" vertical="center"/>
    </xf>
    <xf numFmtId="0" fontId="2" fillId="13" borderId="12" xfId="2" applyFill="1" applyBorder="1" applyAlignment="1">
      <alignment horizontal="left" vertical="center"/>
    </xf>
    <xf numFmtId="0" fontId="7" fillId="13" borderId="9" xfId="2" applyFont="1" applyFill="1" applyBorder="1"/>
    <xf numFmtId="0" fontId="2" fillId="13" borderId="9" xfId="2" applyFill="1" applyBorder="1"/>
    <xf numFmtId="0" fontId="2" fillId="0" borderId="0" xfId="2" quotePrefix="1"/>
    <xf numFmtId="0" fontId="2" fillId="13" borderId="9" xfId="2" applyFill="1" applyBorder="1" applyAlignment="1">
      <alignment shrinkToFit="1"/>
    </xf>
    <xf numFmtId="0" fontId="2" fillId="13" borderId="9" xfId="2" applyFill="1" applyBorder="1" applyAlignment="1">
      <alignment horizontal="right"/>
    </xf>
    <xf numFmtId="0" fontId="2" fillId="13" borderId="9" xfId="2" applyFill="1" applyBorder="1" applyAlignment="1">
      <alignment horizontal="center"/>
    </xf>
    <xf numFmtId="0" fontId="2" fillId="13" borderId="9" xfId="2" quotePrefix="1" applyFill="1" applyBorder="1" applyAlignment="1">
      <alignment horizontal="center"/>
    </xf>
    <xf numFmtId="164" fontId="2" fillId="13" borderId="24" xfId="2" applyNumberFormat="1" applyFill="1" applyBorder="1" applyAlignment="1" applyProtection="1">
      <alignment horizontal="center"/>
      <protection hidden="1"/>
    </xf>
    <xf numFmtId="164" fontId="2" fillId="13" borderId="22" xfId="2" applyNumberFormat="1" applyFill="1" applyBorder="1" applyAlignment="1">
      <alignment horizontal="center"/>
    </xf>
    <xf numFmtId="164" fontId="2" fillId="12" borderId="16" xfId="2" applyNumberFormat="1" applyFill="1" applyBorder="1" applyProtection="1">
      <protection locked="0"/>
    </xf>
    <xf numFmtId="164" fontId="2" fillId="12" borderId="18" xfId="2" applyNumberFormat="1" applyFill="1" applyBorder="1" applyProtection="1">
      <protection locked="0"/>
    </xf>
    <xf numFmtId="164" fontId="2" fillId="12" borderId="23" xfId="2" applyNumberFormat="1" applyFill="1" applyBorder="1" applyProtection="1">
      <protection locked="0"/>
    </xf>
    <xf numFmtId="2" fontId="2" fillId="12" borderId="20" xfId="2" applyNumberFormat="1" applyFill="1" applyBorder="1" applyAlignment="1" applyProtection="1">
      <alignment horizontal="right"/>
      <protection locked="0"/>
    </xf>
    <xf numFmtId="2" fontId="5" fillId="4" borderId="4" xfId="2" applyNumberFormat="1" applyFont="1" applyFill="1" applyBorder="1" applyAlignment="1" applyProtection="1">
      <alignment horizontal="center"/>
      <protection locked="0"/>
    </xf>
    <xf numFmtId="0" fontId="4" fillId="5" borderId="7" xfId="2" applyFont="1" applyFill="1" applyBorder="1"/>
    <xf numFmtId="0" fontId="2" fillId="5" borderId="8" xfId="2" applyFill="1" applyBorder="1"/>
    <xf numFmtId="0" fontId="4" fillId="14" borderId="9" xfId="2" applyFont="1" applyFill="1" applyBorder="1" applyProtection="1">
      <protection hidden="1"/>
    </xf>
    <xf numFmtId="0" fontId="7" fillId="14" borderId="9" xfId="2" applyFont="1" applyFill="1" applyBorder="1" applyProtection="1">
      <protection hidden="1"/>
    </xf>
    <xf numFmtId="0" fontId="2" fillId="14" borderId="9" xfId="2" applyFill="1" applyBorder="1" applyProtection="1">
      <protection hidden="1"/>
    </xf>
    <xf numFmtId="0" fontId="2" fillId="14" borderId="9" xfId="2" applyFill="1" applyBorder="1"/>
    <xf numFmtId="0" fontId="2" fillId="14" borderId="9" xfId="2" applyFill="1" applyBorder="1" applyAlignment="1" applyProtection="1">
      <alignment horizontal="right"/>
      <protection hidden="1"/>
    </xf>
    <xf numFmtId="0" fontId="4" fillId="14" borderId="9" xfId="2" applyFont="1" applyFill="1" applyBorder="1" applyAlignment="1" applyProtection="1">
      <alignment horizontal="left"/>
      <protection hidden="1"/>
    </xf>
    <xf numFmtId="0" fontId="2" fillId="14" borderId="9" xfId="2" applyFill="1" applyBorder="1" applyAlignment="1" applyProtection="1">
      <alignment horizontal="center"/>
      <protection hidden="1"/>
    </xf>
    <xf numFmtId="0" fontId="2" fillId="14" borderId="9" xfId="2" applyFill="1" applyBorder="1" applyAlignment="1">
      <alignment horizontal="left"/>
    </xf>
    <xf numFmtId="0" fontId="2" fillId="14" borderId="9" xfId="2" applyFill="1" applyBorder="1" applyAlignment="1">
      <alignment horizontal="center"/>
    </xf>
    <xf numFmtId="0" fontId="4" fillId="14" borderId="9" xfId="2" applyFont="1" applyFill="1" applyBorder="1"/>
    <xf numFmtId="0" fontId="2" fillId="14" borderId="9" xfId="2" applyFill="1" applyBorder="1" applyAlignment="1">
      <alignment horizontal="right"/>
    </xf>
    <xf numFmtId="0" fontId="2" fillId="14" borderId="9" xfId="2" quotePrefix="1" applyFill="1" applyBorder="1"/>
    <xf numFmtId="0" fontId="4" fillId="14" borderId="9" xfId="2" applyFont="1" applyFill="1" applyBorder="1" applyAlignment="1" applyProtection="1">
      <alignment horizontal="center"/>
      <protection hidden="1"/>
    </xf>
    <xf numFmtId="0" fontId="4" fillId="14" borderId="9" xfId="2" applyFont="1" applyFill="1" applyBorder="1" applyAlignment="1">
      <alignment horizontal="center"/>
    </xf>
    <xf numFmtId="0" fontId="4" fillId="14" borderId="9" xfId="2" applyFont="1" applyFill="1" applyBorder="1" applyAlignment="1">
      <alignment shrinkToFit="1"/>
    </xf>
    <xf numFmtId="0" fontId="2" fillId="14" borderId="10" xfId="2" applyFill="1" applyBorder="1" applyProtection="1">
      <protection hidden="1"/>
    </xf>
    <xf numFmtId="0" fontId="2" fillId="14" borderId="10" xfId="2" applyFill="1" applyBorder="1"/>
    <xf numFmtId="0" fontId="2" fillId="14" borderId="26" xfId="2" applyFill="1" applyBorder="1" applyProtection="1">
      <protection hidden="1"/>
    </xf>
    <xf numFmtId="0" fontId="2" fillId="14" borderId="26" xfId="2" applyFill="1" applyBorder="1"/>
    <xf numFmtId="0" fontId="4" fillId="14" borderId="27" xfId="2" applyFont="1" applyFill="1" applyBorder="1" applyProtection="1">
      <protection hidden="1"/>
    </xf>
    <xf numFmtId="0" fontId="2" fillId="14" borderId="27" xfId="2" applyFill="1" applyBorder="1" applyProtection="1">
      <protection hidden="1"/>
    </xf>
    <xf numFmtId="0" fontId="2" fillId="14" borderId="27" xfId="2" applyFill="1" applyBorder="1"/>
    <xf numFmtId="2" fontId="2" fillId="14" borderId="9" xfId="2" applyNumberFormat="1" applyFill="1" applyBorder="1" applyProtection="1">
      <protection hidden="1"/>
    </xf>
    <xf numFmtId="0" fontId="4" fillId="14" borderId="9" xfId="2" quotePrefix="1" applyFont="1" applyFill="1" applyBorder="1"/>
    <xf numFmtId="0" fontId="2" fillId="14" borderId="9" xfId="2" quotePrefix="1" applyFill="1" applyBorder="1" applyProtection="1">
      <protection hidden="1"/>
    </xf>
    <xf numFmtId="0" fontId="4" fillId="14" borderId="9" xfId="2" applyFont="1" applyFill="1" applyBorder="1" applyAlignment="1">
      <alignment horizontal="left"/>
    </xf>
    <xf numFmtId="0" fontId="15" fillId="14" borderId="9" xfId="2" applyFont="1" applyFill="1" applyBorder="1" applyProtection="1">
      <protection hidden="1"/>
    </xf>
    <xf numFmtId="2" fontId="2" fillId="14" borderId="9" xfId="2" quotePrefix="1" applyNumberFormat="1" applyFill="1" applyBorder="1" applyProtection="1">
      <protection hidden="1"/>
    </xf>
    <xf numFmtId="0" fontId="2" fillId="15" borderId="0" xfId="2" applyFill="1"/>
    <xf numFmtId="164" fontId="4" fillId="3" borderId="16" xfId="2" applyNumberFormat="1" applyFont="1" applyFill="1" applyBorder="1"/>
    <xf numFmtId="164" fontId="4" fillId="3" borderId="18" xfId="2" applyNumberFormat="1" applyFont="1" applyFill="1" applyBorder="1"/>
    <xf numFmtId="0" fontId="4" fillId="7" borderId="28" xfId="2" applyFont="1" applyFill="1" applyBorder="1" applyAlignment="1">
      <alignment horizontal="center"/>
    </xf>
    <xf numFmtId="164" fontId="4" fillId="3" borderId="29" xfId="2" applyNumberFormat="1" applyFont="1" applyFill="1" applyBorder="1"/>
    <xf numFmtId="0" fontId="4" fillId="11" borderId="19" xfId="2" applyFont="1" applyFill="1" applyBorder="1" applyAlignment="1">
      <alignment horizontal="center"/>
    </xf>
    <xf numFmtId="0" fontId="4" fillId="12" borderId="20" xfId="2" applyFont="1" applyFill="1" applyBorder="1" applyAlignment="1" applyProtection="1">
      <alignment horizontal="center"/>
      <protection locked="0"/>
    </xf>
    <xf numFmtId="0" fontId="4" fillId="11" borderId="21" xfId="2" applyFont="1" applyFill="1" applyBorder="1" applyAlignment="1">
      <alignment horizontal="center"/>
    </xf>
    <xf numFmtId="0" fontId="2" fillId="6" borderId="30" xfId="2" applyFill="1" applyBorder="1" applyAlignment="1">
      <alignment horizontal="center"/>
    </xf>
    <xf numFmtId="0" fontId="2" fillId="6" borderId="31" xfId="2" applyFill="1" applyBorder="1" applyAlignment="1">
      <alignment horizontal="center"/>
    </xf>
    <xf numFmtId="0" fontId="14" fillId="2" borderId="9" xfId="1" applyFont="1" applyBorder="1" applyAlignment="1">
      <alignment horizontal="center"/>
    </xf>
    <xf numFmtId="166" fontId="4" fillId="6" borderId="9" xfId="2" applyNumberFormat="1" applyFont="1" applyFill="1" applyBorder="1" applyAlignment="1">
      <alignment horizontal="center"/>
    </xf>
    <xf numFmtId="0" fontId="4" fillId="6" borderId="9" xfId="2" applyFont="1" applyFill="1" applyBorder="1" applyAlignment="1">
      <alignment horizontal="center"/>
    </xf>
    <xf numFmtId="0" fontId="2" fillId="8" borderId="0" xfId="2" applyFill="1" applyAlignment="1">
      <alignment horizontal="center"/>
    </xf>
    <xf numFmtId="0" fontId="3" fillId="3" borderId="0" xfId="2" applyFont="1" applyFill="1" applyAlignment="1">
      <alignment horizontal="center"/>
    </xf>
    <xf numFmtId="0" fontId="4" fillId="4" borderId="0" xfId="2" applyFont="1" applyFill="1" applyAlignment="1">
      <alignment horizontal="center" vertical="center"/>
    </xf>
    <xf numFmtId="0" fontId="4" fillId="9" borderId="0" xfId="2" applyFont="1" applyFill="1" applyAlignment="1">
      <alignment horizontal="center" vertical="center"/>
    </xf>
    <xf numFmtId="0" fontId="4" fillId="10" borderId="0" xfId="2" applyFont="1" applyFill="1" applyAlignment="1">
      <alignment horizontal="center" vertical="center"/>
    </xf>
    <xf numFmtId="0" fontId="2" fillId="8" borderId="0" xfId="2" quotePrefix="1" applyFill="1" applyAlignment="1">
      <alignment horizontal="center"/>
    </xf>
    <xf numFmtId="0" fontId="4" fillId="8" borderId="0" xfId="2" applyFont="1" applyFill="1" applyAlignment="1">
      <alignment horizontal="center"/>
    </xf>
    <xf numFmtId="0" fontId="4" fillId="4" borderId="0" xfId="2" applyFont="1" applyFill="1" applyAlignment="1">
      <alignment horizontal="center"/>
    </xf>
    <xf numFmtId="0" fontId="3" fillId="7" borderId="0" xfId="2" applyFont="1" applyFill="1" applyAlignment="1">
      <alignment horizontal="center"/>
    </xf>
    <xf numFmtId="0" fontId="4" fillId="8" borderId="0" xfId="2" quotePrefix="1" applyFont="1" applyFill="1" applyAlignment="1">
      <alignment horizontal="center"/>
    </xf>
    <xf numFmtId="0" fontId="4" fillId="13" borderId="9" xfId="2" applyFont="1" applyFill="1" applyBorder="1" applyAlignment="1">
      <alignment horizontal="center"/>
    </xf>
    <xf numFmtId="0" fontId="2" fillId="13" borderId="9" xfId="2" applyFill="1" applyBorder="1" applyAlignment="1">
      <alignment horizontal="center"/>
    </xf>
    <xf numFmtId="0" fontId="4" fillId="6" borderId="9" xfId="2" quotePrefix="1" applyFont="1" applyFill="1" applyBorder="1" applyAlignment="1">
      <alignment horizontal="center"/>
    </xf>
    <xf numFmtId="0" fontId="4" fillId="6" borderId="9" xfId="2" applyFont="1" applyFill="1" applyBorder="1" applyAlignment="1">
      <alignment horizontal="center"/>
    </xf>
  </cellXfs>
  <cellStyles count="3">
    <cellStyle name="Celda de comprobación" xfId="1" builtinId="23"/>
    <cellStyle name="Normal" xfId="0" builtinId="0"/>
    <cellStyle name="Normal 2" xfId="2" xr:uid="{63649170-C206-4CE5-B27A-DC5B34D8AC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gif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gif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5</xdr:row>
      <xdr:rowOff>76200</xdr:rowOff>
    </xdr:from>
    <xdr:to>
      <xdr:col>6</xdr:col>
      <xdr:colOff>638175</xdr:colOff>
      <xdr:row>8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962025"/>
          <a:ext cx="1695450" cy="43815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762000</xdr:colOff>
      <xdr:row>8</xdr:row>
      <xdr:rowOff>38100</xdr:rowOff>
    </xdr:from>
    <xdr:to>
      <xdr:col>6</xdr:col>
      <xdr:colOff>1654175</xdr:colOff>
      <xdr:row>14</xdr:row>
      <xdr:rowOff>53340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5875" y="1428750"/>
          <a:ext cx="892175" cy="996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21</xdr:row>
      <xdr:rowOff>0</xdr:rowOff>
    </xdr:from>
    <xdr:to>
      <xdr:col>6</xdr:col>
      <xdr:colOff>892175</xdr:colOff>
      <xdr:row>26</xdr:row>
      <xdr:rowOff>110490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0" y="3648075"/>
          <a:ext cx="892175" cy="996315"/>
        </a:xfrm>
        <a:prstGeom prst="rect">
          <a:avLst/>
        </a:prstGeom>
      </xdr:spPr>
    </xdr:pic>
    <xdr:clientData/>
  </xdr:twoCellAnchor>
  <xdr:twoCellAnchor editAs="oneCell">
    <xdr:from>
      <xdr:col>3</xdr:col>
      <xdr:colOff>749300</xdr:colOff>
      <xdr:row>5</xdr:row>
      <xdr:rowOff>25400</xdr:rowOff>
    </xdr:from>
    <xdr:to>
      <xdr:col>6</xdr:col>
      <xdr:colOff>387350</xdr:colOff>
      <xdr:row>8</xdr:row>
      <xdr:rowOff>12700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E2EFF80-B675-47C1-AC6D-B3E49433BA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8950" y="914400"/>
          <a:ext cx="1593850" cy="501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87</xdr:row>
      <xdr:rowOff>123825</xdr:rowOff>
    </xdr:from>
    <xdr:to>
      <xdr:col>6</xdr:col>
      <xdr:colOff>1311732</xdr:colOff>
      <xdr:row>93</xdr:row>
      <xdr:rowOff>91832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93F9AF1-5B33-45E3-823C-4D9540B9D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1100" y="3505200"/>
          <a:ext cx="892632" cy="996707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</xdr:colOff>
      <xdr:row>6</xdr:row>
      <xdr:rowOff>104776</xdr:rowOff>
    </xdr:from>
    <xdr:to>
      <xdr:col>6</xdr:col>
      <xdr:colOff>1609724</xdr:colOff>
      <xdr:row>9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4A898C5-2572-45BC-83F2-DC01D71F4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25" y="1152526"/>
          <a:ext cx="3467099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A1AA5-5C20-446F-9C69-4B42DEAF0CB5}">
  <dimension ref="A1:I30"/>
  <sheetViews>
    <sheetView showGridLines="0" zoomScale="170" zoomScaleNormal="170" workbookViewId="0">
      <selection activeCell="C4" sqref="C4"/>
    </sheetView>
  </sheetViews>
  <sheetFormatPr baseColWidth="10" defaultColWidth="0" defaultRowHeight="12.75" x14ac:dyDescent="0.2"/>
  <cols>
    <col min="1" max="1" width="13" style="2" customWidth="1"/>
    <col min="2" max="2" width="9.7109375" style="2" customWidth="1"/>
    <col min="3" max="3" width="13" style="2" customWidth="1"/>
    <col min="4" max="4" width="14" style="2" customWidth="1"/>
    <col min="5" max="5" width="8.7109375" style="2" customWidth="1"/>
    <col min="6" max="6" width="6.5703125" style="2" customWidth="1"/>
    <col min="7" max="7" width="26.85546875" style="2" customWidth="1"/>
    <col min="8" max="16384" width="9.140625" style="2" hidden="1"/>
  </cols>
  <sheetData>
    <row r="1" spans="1:9" ht="18" x14ac:dyDescent="0.25">
      <c r="A1" s="136" t="s">
        <v>0</v>
      </c>
      <c r="B1" s="136"/>
      <c r="C1" s="136"/>
      <c r="D1" s="136"/>
      <c r="E1" s="136"/>
      <c r="F1" s="136"/>
      <c r="G1" s="136"/>
      <c r="H1" s="1"/>
      <c r="I1" s="1"/>
    </row>
    <row r="2" spans="1:9" ht="13.5" thickBot="1" x14ac:dyDescent="0.25">
      <c r="A2" s="137" t="s">
        <v>1</v>
      </c>
      <c r="B2" s="137"/>
      <c r="C2" s="137"/>
      <c r="D2" s="137"/>
      <c r="E2" s="137"/>
      <c r="F2" s="137"/>
      <c r="G2" s="137"/>
      <c r="H2" s="3"/>
    </row>
    <row r="3" spans="1:9" x14ac:dyDescent="0.2">
      <c r="A3" s="4" t="s">
        <v>2</v>
      </c>
      <c r="B3" s="5"/>
      <c r="C3" s="14">
        <v>126.15</v>
      </c>
    </row>
    <row r="4" spans="1:9" x14ac:dyDescent="0.2">
      <c r="A4" s="6" t="s">
        <v>3</v>
      </c>
      <c r="B4" s="7"/>
      <c r="C4" s="8">
        <v>2</v>
      </c>
      <c r="E4" s="9" t="s">
        <v>4</v>
      </c>
    </row>
    <row r="5" spans="1:9" x14ac:dyDescent="0.2">
      <c r="A5" s="6" t="s">
        <v>5</v>
      </c>
      <c r="B5" s="7"/>
      <c r="C5" s="8">
        <v>33.5</v>
      </c>
    </row>
    <row r="6" spans="1:9" ht="14.25" customHeight="1" x14ac:dyDescent="0.2">
      <c r="A6" s="6" t="s">
        <v>6</v>
      </c>
      <c r="B6" s="7"/>
      <c r="C6" s="10">
        <f>0.421875*((C8^2)*(C3)^3)/C5</f>
        <v>169.99198784891072</v>
      </c>
    </row>
    <row r="7" spans="1:9" x14ac:dyDescent="0.2">
      <c r="A7" s="6" t="s">
        <v>7</v>
      </c>
      <c r="B7" s="7"/>
      <c r="C7" s="10">
        <f>C11-((C8*C3)/(4*C5))</f>
        <v>1.2803731343283581E-2</v>
      </c>
    </row>
    <row r="8" spans="1:9" x14ac:dyDescent="0.2">
      <c r="A8" s="11" t="s">
        <v>8</v>
      </c>
      <c r="B8" s="12"/>
      <c r="C8" s="13">
        <v>8.2000000000000003E-2</v>
      </c>
    </row>
    <row r="9" spans="1:9" x14ac:dyDescent="0.2">
      <c r="A9" s="11" t="s">
        <v>9</v>
      </c>
      <c r="B9" s="12"/>
      <c r="C9" s="14">
        <v>100</v>
      </c>
    </row>
    <row r="10" spans="1:9" ht="12.75" customHeight="1" x14ac:dyDescent="0.2">
      <c r="A10" s="6" t="s">
        <v>10</v>
      </c>
      <c r="B10" s="15"/>
      <c r="C10" s="16">
        <f>((3*C8*C3)/(8*C5))-C11</f>
        <v>2.5794402985074641E-2</v>
      </c>
      <c r="D10" s="17"/>
    </row>
    <row r="11" spans="1:9" ht="13.5" thickBot="1" x14ac:dyDescent="0.25">
      <c r="A11" s="18" t="s">
        <v>11</v>
      </c>
      <c r="B11" s="19"/>
      <c r="C11" s="20">
        <v>0.09</v>
      </c>
      <c r="D11" s="21"/>
    </row>
    <row r="13" spans="1:9" x14ac:dyDescent="0.2">
      <c r="A13" s="22" t="s">
        <v>12</v>
      </c>
      <c r="B13" s="16">
        <f>(C8*C9)/C4</f>
        <v>4.1000000000000005</v>
      </c>
    </row>
    <row r="14" spans="1:9" x14ac:dyDescent="0.2">
      <c r="A14" s="22" t="s">
        <v>13</v>
      </c>
      <c r="B14" s="16">
        <f>(C8*C9/(C4-C7))-(C6/(((C4+C10)^2*C9)))</f>
        <v>3.7121904190361934</v>
      </c>
    </row>
    <row r="15" spans="1:9" x14ac:dyDescent="0.2">
      <c r="A15" s="135"/>
      <c r="B15" s="135"/>
      <c r="C15" s="135"/>
      <c r="D15" s="135"/>
      <c r="E15" s="135"/>
      <c r="F15" s="135"/>
      <c r="G15" s="135"/>
    </row>
    <row r="16" spans="1:9" s="138" customFormat="1" ht="15" customHeight="1" x14ac:dyDescent="0.25">
      <c r="A16" s="138" t="s">
        <v>22</v>
      </c>
    </row>
    <row r="17" spans="1:7" x14ac:dyDescent="0.2">
      <c r="A17" s="24"/>
    </row>
    <row r="18" spans="1:7" ht="15" customHeight="1" x14ac:dyDescent="0.2">
      <c r="A18" s="139" t="s">
        <v>23</v>
      </c>
      <c r="B18" s="139"/>
      <c r="C18" s="139"/>
      <c r="D18" s="139"/>
      <c r="E18" s="139"/>
      <c r="F18" s="139"/>
      <c r="G18" s="139"/>
    </row>
    <row r="19" spans="1:7" x14ac:dyDescent="0.2">
      <c r="A19" s="24"/>
      <c r="B19" s="25"/>
      <c r="C19" s="26"/>
      <c r="D19" s="24"/>
      <c r="E19" s="24"/>
      <c r="F19" s="24"/>
    </row>
    <row r="20" spans="1:7" x14ac:dyDescent="0.2">
      <c r="A20" s="24"/>
      <c r="B20" s="27"/>
      <c r="C20" s="28"/>
      <c r="D20" s="24"/>
      <c r="E20" s="24"/>
      <c r="F20" s="24"/>
    </row>
    <row r="21" spans="1:7" x14ac:dyDescent="0.2">
      <c r="A21" s="24"/>
      <c r="B21" s="24"/>
      <c r="C21" s="24"/>
      <c r="D21" s="24"/>
      <c r="E21" s="24"/>
      <c r="F21" s="24"/>
    </row>
    <row r="22" spans="1:7" x14ac:dyDescent="0.2">
      <c r="A22" s="29"/>
      <c r="B22" s="24"/>
      <c r="C22" s="30"/>
      <c r="D22" s="30"/>
      <c r="E22" s="24"/>
      <c r="F22" s="24"/>
    </row>
    <row r="23" spans="1:7" ht="15" x14ac:dyDescent="0.25">
      <c r="A23" s="29"/>
      <c r="B23" s="31"/>
      <c r="C23" s="32"/>
      <c r="D23" s="30"/>
      <c r="E23" s="24"/>
      <c r="F23" s="24"/>
    </row>
    <row r="24" spans="1:7" ht="15" x14ac:dyDescent="0.25">
      <c r="A24" s="29"/>
      <c r="B24" s="31"/>
      <c r="C24" s="32"/>
      <c r="D24" s="30"/>
      <c r="E24" s="24"/>
      <c r="F24" s="24"/>
    </row>
    <row r="25" spans="1:7" ht="15" x14ac:dyDescent="0.25">
      <c r="A25" s="29"/>
      <c r="B25" s="31"/>
      <c r="C25" s="32"/>
      <c r="D25" s="30"/>
      <c r="E25" s="24"/>
      <c r="F25" s="24"/>
    </row>
    <row r="26" spans="1:7" x14ac:dyDescent="0.2">
      <c r="A26" s="24"/>
      <c r="B26" s="24"/>
      <c r="C26" s="24"/>
      <c r="D26" s="24"/>
      <c r="E26" s="24"/>
      <c r="F26" s="24"/>
    </row>
    <row r="27" spans="1:7" x14ac:dyDescent="0.2">
      <c r="A27" s="24"/>
      <c r="B27" s="27"/>
      <c r="C27" s="24"/>
      <c r="D27" s="24"/>
      <c r="E27" s="24"/>
      <c r="F27" s="24"/>
    </row>
    <row r="28" spans="1:7" ht="15" x14ac:dyDescent="0.25">
      <c r="A28" s="24"/>
      <c r="B28" s="31"/>
      <c r="C28" s="140"/>
      <c r="D28" s="135"/>
      <c r="E28" s="135"/>
      <c r="F28" s="135"/>
    </row>
    <row r="29" spans="1:7" ht="15" x14ac:dyDescent="0.25">
      <c r="A29" s="24"/>
      <c r="B29" s="31"/>
      <c r="C29" s="135"/>
      <c r="D29" s="135"/>
      <c r="E29" s="135"/>
      <c r="F29" s="135"/>
    </row>
    <row r="30" spans="1:7" ht="15" x14ac:dyDescent="0.25">
      <c r="A30" s="24"/>
      <c r="B30" s="31"/>
      <c r="C30" s="135"/>
      <c r="D30" s="135"/>
      <c r="E30" s="135"/>
      <c r="F30" s="135"/>
    </row>
  </sheetData>
  <sheetProtection algorithmName="SHA-512" hashValue="MulMvOSGaLLAiMndFV+rDnsAABcV/vEhF+Vc1OF8hD7Wxy27C01Cb/mSIdFNGF8Yh+Ay0FhPdkXziFP3hWpYLg==" saltValue="kSY9KaO3Q6gOjuApakxiNQ==" spinCount="100000" sheet="1" selectLockedCells="1"/>
  <mergeCells count="8">
    <mergeCell ref="C29:F29"/>
    <mergeCell ref="C30:F30"/>
    <mergeCell ref="A1:G1"/>
    <mergeCell ref="A2:G2"/>
    <mergeCell ref="A15:G15"/>
    <mergeCell ref="A16:XFD16"/>
    <mergeCell ref="A18:G18"/>
    <mergeCell ref="C28:F28"/>
  </mergeCells>
  <pageMargins left="0.75" right="0.75" top="1" bottom="1" header="0.5" footer="0.5"/>
  <pageSetup paperSize="9" orientation="portrait" horizontalDpi="150" verticalDpi="150" r:id="rId1"/>
  <headerFooter alignWithMargins="0"/>
  <customProperties>
    <customPr name="SSC_SHEET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8E1D1-CAC5-4AB1-8744-627E608B0A91}">
  <dimension ref="A1:I37"/>
  <sheetViews>
    <sheetView showGridLines="0" topLeftCell="A3" zoomScale="150" zoomScaleNormal="150" workbookViewId="0">
      <selection activeCell="C24" sqref="C24"/>
    </sheetView>
  </sheetViews>
  <sheetFormatPr baseColWidth="10" defaultColWidth="0" defaultRowHeight="12.75" x14ac:dyDescent="0.2"/>
  <cols>
    <col min="1" max="2" width="10.5703125" style="2" customWidth="1"/>
    <col min="3" max="3" width="13" style="2" customWidth="1"/>
    <col min="4" max="4" width="14" style="2" customWidth="1"/>
    <col min="5" max="5" width="8.7109375" style="2" customWidth="1"/>
    <col min="6" max="6" width="6.5703125" style="2" customWidth="1"/>
    <col min="7" max="7" width="27.7109375" style="2" customWidth="1"/>
    <col min="8" max="16384" width="9.140625" style="2" hidden="1"/>
  </cols>
  <sheetData>
    <row r="1" spans="1:9" ht="18" x14ac:dyDescent="0.25">
      <c r="A1" s="136" t="s">
        <v>24</v>
      </c>
      <c r="B1" s="136"/>
      <c r="C1" s="136"/>
      <c r="D1" s="136"/>
      <c r="E1" s="136"/>
      <c r="F1" s="136"/>
      <c r="G1" s="136"/>
      <c r="H1" s="1"/>
      <c r="I1" s="1"/>
    </row>
    <row r="2" spans="1:9" x14ac:dyDescent="0.2">
      <c r="A2" s="142" t="s">
        <v>1</v>
      </c>
      <c r="B2" s="142"/>
      <c r="C2" s="142"/>
      <c r="D2" s="142"/>
      <c r="E2" s="142"/>
      <c r="F2" s="142"/>
      <c r="G2" s="142"/>
      <c r="H2" s="3"/>
    </row>
    <row r="3" spans="1:9" x14ac:dyDescent="0.2">
      <c r="A3" s="33" t="s">
        <v>2</v>
      </c>
      <c r="B3" s="34"/>
      <c r="C3" s="35">
        <v>126.15</v>
      </c>
    </row>
    <row r="4" spans="1:9" x14ac:dyDescent="0.2">
      <c r="A4" s="36" t="s">
        <v>25</v>
      </c>
      <c r="B4" s="36"/>
      <c r="C4" s="37">
        <v>12</v>
      </c>
      <c r="E4" s="9" t="s">
        <v>4</v>
      </c>
    </row>
    <row r="5" spans="1:9" x14ac:dyDescent="0.2">
      <c r="A5" s="36" t="s">
        <v>5</v>
      </c>
      <c r="B5" s="36"/>
      <c r="C5" s="38">
        <v>33.5</v>
      </c>
    </row>
    <row r="6" spans="1:9" x14ac:dyDescent="0.2">
      <c r="A6" s="36" t="s">
        <v>26</v>
      </c>
      <c r="B6" s="36"/>
      <c r="C6" s="38">
        <v>2</v>
      </c>
    </row>
    <row r="7" spans="1:9" ht="14.25" x14ac:dyDescent="0.2">
      <c r="A7" s="36" t="s">
        <v>6</v>
      </c>
      <c r="B7" s="36"/>
      <c r="C7" s="39">
        <f>0.421875*((C9^2)*(C3)^3)/C5</f>
        <v>169.99198784891072</v>
      </c>
    </row>
    <row r="8" spans="1:9" x14ac:dyDescent="0.2">
      <c r="A8" s="36" t="s">
        <v>7</v>
      </c>
      <c r="B8" s="36"/>
      <c r="C8" s="39">
        <f>C11-((C9*C3)/(4*C5))</f>
        <v>1.2803731343283581E-2</v>
      </c>
    </row>
    <row r="9" spans="1:9" x14ac:dyDescent="0.2">
      <c r="A9" s="33" t="s">
        <v>8</v>
      </c>
      <c r="B9" s="34"/>
      <c r="C9" s="40">
        <v>8.2000000000000003E-2</v>
      </c>
    </row>
    <row r="10" spans="1:9" x14ac:dyDescent="0.2">
      <c r="A10" s="33" t="s">
        <v>10</v>
      </c>
      <c r="B10" s="34"/>
      <c r="C10" s="41">
        <f>((3*C9*C3)/(8*C5))-C11</f>
        <v>2.5794402985074641E-2</v>
      </c>
    </row>
    <row r="11" spans="1:9" ht="13.5" thickBot="1" x14ac:dyDescent="0.25">
      <c r="A11" s="33" t="s">
        <v>11</v>
      </c>
      <c r="B11" s="34"/>
      <c r="C11" s="42">
        <v>0.09</v>
      </c>
    </row>
    <row r="12" spans="1:9" ht="14.25" x14ac:dyDescent="0.2">
      <c r="A12" s="43"/>
      <c r="B12" s="44" t="s">
        <v>27</v>
      </c>
      <c r="C12" s="45" t="s">
        <v>28</v>
      </c>
      <c r="D12" s="46" t="s">
        <v>29</v>
      </c>
    </row>
    <row r="13" spans="1:9" ht="13.5" thickBot="1" x14ac:dyDescent="0.25">
      <c r="A13" s="47"/>
      <c r="B13" s="48">
        <v>1</v>
      </c>
      <c r="C13" s="48">
        <f>-((C4*C6)-(C6*C8))/C9</f>
        <v>-292.37064069894433</v>
      </c>
      <c r="D13" s="49">
        <f>-(C7*(C4-C8))/(C9*(C4+C10)^2)</f>
        <v>-171.83224602047753</v>
      </c>
    </row>
    <row r="14" spans="1:9" ht="13.5" thickBot="1" x14ac:dyDescent="0.25"/>
    <row r="15" spans="1:9" x14ac:dyDescent="0.2">
      <c r="A15" s="50" t="s">
        <v>30</v>
      </c>
      <c r="B15" s="16">
        <f>(C4*C6)/(C9)</f>
        <v>292.6829268292683</v>
      </c>
    </row>
    <row r="16" spans="1:9" ht="13.5" thickBot="1" x14ac:dyDescent="0.25">
      <c r="A16" s="51" t="s">
        <v>31</v>
      </c>
      <c r="B16" s="16">
        <f>C26</f>
        <v>292.9571845867921</v>
      </c>
      <c r="C16" s="24"/>
      <c r="D16" s="24"/>
      <c r="E16" s="24"/>
      <c r="F16" s="24"/>
      <c r="G16" s="24"/>
    </row>
    <row r="17" spans="1:8" ht="21" x14ac:dyDescent="0.25">
      <c r="A17" s="143" t="s">
        <v>32</v>
      </c>
      <c r="B17" s="143"/>
      <c r="C17" s="143"/>
      <c r="D17" s="143"/>
      <c r="E17" s="143"/>
      <c r="F17" s="143"/>
      <c r="G17" s="143"/>
    </row>
    <row r="18" spans="1:8" x14ac:dyDescent="0.2">
      <c r="A18" s="52"/>
      <c r="B18" s="52"/>
      <c r="C18" s="52"/>
      <c r="D18" s="52"/>
      <c r="E18" s="24"/>
      <c r="F18" s="24"/>
      <c r="G18" s="24"/>
      <c r="H18" s="3"/>
    </row>
    <row r="20" spans="1:8" x14ac:dyDescent="0.2">
      <c r="B20" s="53" t="s">
        <v>14</v>
      </c>
      <c r="C20" s="54">
        <f>B13</f>
        <v>1</v>
      </c>
    </row>
    <row r="21" spans="1:8" x14ac:dyDescent="0.2">
      <c r="B21" s="53" t="s">
        <v>15</v>
      </c>
      <c r="C21" s="54">
        <f>C13</f>
        <v>-292.37064069894433</v>
      </c>
    </row>
    <row r="22" spans="1:8" x14ac:dyDescent="0.2">
      <c r="B22" s="53" t="s">
        <v>16</v>
      </c>
      <c r="C22" s="54">
        <f>D13</f>
        <v>-171.83224602047753</v>
      </c>
    </row>
    <row r="23" spans="1:8" x14ac:dyDescent="0.2">
      <c r="B23" s="25"/>
      <c r="C23" s="26"/>
      <c r="D23" s="24"/>
    </row>
    <row r="24" spans="1:8" x14ac:dyDescent="0.2">
      <c r="B24" s="27"/>
      <c r="C24" s="28"/>
      <c r="D24" s="24"/>
    </row>
    <row r="25" spans="1:8" x14ac:dyDescent="0.2">
      <c r="B25" s="17"/>
      <c r="C25" s="55" t="s">
        <v>33</v>
      </c>
      <c r="D25" s="55" t="s">
        <v>34</v>
      </c>
    </row>
    <row r="26" spans="1:8" ht="18.75" x14ac:dyDescent="0.35">
      <c r="A26" s="29"/>
      <c r="B26" s="56" t="s">
        <v>35</v>
      </c>
      <c r="C26" s="41">
        <f>Cuadratica!C10</f>
        <v>292.9571845867921</v>
      </c>
      <c r="D26" s="57" t="str">
        <f>Cuadratica!D10</f>
        <v/>
      </c>
      <c r="E26" s="24"/>
      <c r="F26" s="24"/>
      <c r="G26" s="24"/>
    </row>
    <row r="27" spans="1:8" ht="18.75" x14ac:dyDescent="0.35">
      <c r="A27" s="29"/>
      <c r="B27" s="56" t="s">
        <v>36</v>
      </c>
      <c r="C27" s="41">
        <f>Cuadratica!C11</f>
        <v>-0.58654388784776756</v>
      </c>
      <c r="D27" s="57" t="str">
        <f>Cuadratica!D11</f>
        <v/>
      </c>
      <c r="E27" s="24"/>
      <c r="F27" s="24"/>
      <c r="G27" s="24"/>
    </row>
    <row r="28" spans="1:8" ht="17.25" x14ac:dyDescent="0.3">
      <c r="A28" s="29"/>
      <c r="B28" s="58"/>
      <c r="C28" s="59"/>
      <c r="D28" s="30"/>
      <c r="E28" s="24"/>
      <c r="F28" s="24"/>
      <c r="G28" s="24"/>
    </row>
    <row r="29" spans="1:8" ht="15" customHeight="1" x14ac:dyDescent="0.2">
      <c r="A29" s="138" t="s">
        <v>155</v>
      </c>
      <c r="B29" s="138"/>
      <c r="C29" s="138"/>
      <c r="D29" s="138"/>
      <c r="E29" s="138"/>
      <c r="F29" s="138"/>
      <c r="G29" s="138"/>
    </row>
    <row r="30" spans="1:8" x14ac:dyDescent="0.2">
      <c r="A30" s="24"/>
      <c r="B30" s="24"/>
      <c r="C30" s="24"/>
      <c r="D30" s="24"/>
      <c r="E30" s="24"/>
      <c r="F30" s="24"/>
      <c r="G30" s="24"/>
    </row>
    <row r="31" spans="1:8" x14ac:dyDescent="0.2">
      <c r="A31" s="139" t="s">
        <v>37</v>
      </c>
      <c r="B31" s="139"/>
      <c r="C31" s="139"/>
      <c r="D31" s="139"/>
      <c r="E31" s="139"/>
      <c r="F31" s="139"/>
      <c r="G31" s="139"/>
    </row>
    <row r="32" spans="1:8" ht="17.25" x14ac:dyDescent="0.3">
      <c r="A32" s="24"/>
      <c r="B32" s="58"/>
      <c r="C32" s="144"/>
      <c r="D32" s="144"/>
      <c r="E32" s="144"/>
      <c r="F32" s="144"/>
      <c r="G32" s="24"/>
    </row>
    <row r="33" spans="1:7" ht="17.25" x14ac:dyDescent="0.3">
      <c r="A33" s="24"/>
      <c r="B33" s="58"/>
      <c r="C33" s="141"/>
      <c r="D33" s="141"/>
      <c r="E33" s="141"/>
      <c r="F33" s="141"/>
      <c r="G33" s="24"/>
    </row>
    <row r="34" spans="1:7" ht="17.25" x14ac:dyDescent="0.3">
      <c r="A34" s="24"/>
      <c r="B34" s="58"/>
      <c r="C34" s="141"/>
      <c r="D34" s="141"/>
      <c r="E34" s="141"/>
      <c r="F34" s="141"/>
      <c r="G34" s="24"/>
    </row>
    <row r="37" spans="1:7" x14ac:dyDescent="0.2">
      <c r="C37" s="52"/>
      <c r="D37" s="52"/>
      <c r="E37" s="52"/>
      <c r="F37" s="24"/>
      <c r="G37" s="24"/>
    </row>
  </sheetData>
  <sheetProtection algorithmName="SHA-512" hashValue="lx5bIKxCIo1j1QnWZHOArJM6LKwO1Ee001Q1Sz13gYizfdERzjd6zoH8qy8QaJ96FCWpuiOZk8Qymj67+Yv1ew==" saltValue="VLYU0fsQwxlbO72BCfUclg==" spinCount="100000" sheet="1" selectLockedCells="1"/>
  <mergeCells count="8">
    <mergeCell ref="C33:F33"/>
    <mergeCell ref="C34:F34"/>
    <mergeCell ref="A1:G1"/>
    <mergeCell ref="A2:G2"/>
    <mergeCell ref="A17:G17"/>
    <mergeCell ref="A29:G29"/>
    <mergeCell ref="A31:G31"/>
    <mergeCell ref="C32:F32"/>
  </mergeCells>
  <pageMargins left="0.75" right="0.75" top="1" bottom="1" header="0.5" footer="0.5"/>
  <pageSetup paperSize="9" orientation="portrait" horizontalDpi="150" verticalDpi="150" r:id="rId1"/>
  <headerFooter alignWithMargins="0"/>
  <customProperties>
    <customPr name="SSC_SHEET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890DE-7639-420A-A1C7-F2424FEC97BD}">
  <dimension ref="A1:L64"/>
  <sheetViews>
    <sheetView showGridLines="0" workbookViewId="0">
      <selection activeCell="C7" sqref="C7"/>
    </sheetView>
  </sheetViews>
  <sheetFormatPr baseColWidth="10" defaultColWidth="0" defaultRowHeight="12.75" customHeight="1" zeroHeight="1" x14ac:dyDescent="0.2"/>
  <cols>
    <col min="1" max="1" width="5.7109375" style="2" customWidth="1"/>
    <col min="2" max="2" width="19.7109375" style="2" customWidth="1"/>
    <col min="3" max="3" width="19.85546875" style="2" customWidth="1"/>
    <col min="4" max="4" width="19.7109375" style="2" customWidth="1"/>
    <col min="5" max="6" width="9.140625" style="2" customWidth="1"/>
    <col min="7" max="256" width="0" style="2" hidden="1"/>
    <col min="257" max="257" width="5.7109375" style="2" customWidth="1"/>
    <col min="258" max="258" width="19.7109375" style="2" customWidth="1"/>
    <col min="259" max="259" width="19.85546875" style="2" customWidth="1"/>
    <col min="260" max="260" width="19.7109375" style="2" customWidth="1"/>
    <col min="261" max="262" width="9.140625" style="2" customWidth="1"/>
    <col min="263" max="512" width="0" style="2" hidden="1"/>
    <col min="513" max="513" width="5.7109375" style="2" customWidth="1"/>
    <col min="514" max="514" width="19.7109375" style="2" customWidth="1"/>
    <col min="515" max="515" width="19.85546875" style="2" customWidth="1"/>
    <col min="516" max="516" width="19.7109375" style="2" customWidth="1"/>
    <col min="517" max="518" width="9.140625" style="2" customWidth="1"/>
    <col min="519" max="768" width="0" style="2" hidden="1"/>
    <col min="769" max="769" width="5.7109375" style="2" customWidth="1"/>
    <col min="770" max="770" width="19.7109375" style="2" customWidth="1"/>
    <col min="771" max="771" width="19.85546875" style="2" customWidth="1"/>
    <col min="772" max="772" width="19.7109375" style="2" customWidth="1"/>
    <col min="773" max="774" width="9.140625" style="2" customWidth="1"/>
    <col min="775" max="1024" width="0" style="2" hidden="1"/>
    <col min="1025" max="1025" width="5.7109375" style="2" customWidth="1"/>
    <col min="1026" max="1026" width="19.7109375" style="2" customWidth="1"/>
    <col min="1027" max="1027" width="19.85546875" style="2" customWidth="1"/>
    <col min="1028" max="1028" width="19.7109375" style="2" customWidth="1"/>
    <col min="1029" max="1030" width="9.140625" style="2" customWidth="1"/>
    <col min="1031" max="1280" width="0" style="2" hidden="1"/>
    <col min="1281" max="1281" width="5.7109375" style="2" customWidth="1"/>
    <col min="1282" max="1282" width="19.7109375" style="2" customWidth="1"/>
    <col min="1283" max="1283" width="19.85546875" style="2" customWidth="1"/>
    <col min="1284" max="1284" width="19.7109375" style="2" customWidth="1"/>
    <col min="1285" max="1286" width="9.140625" style="2" customWidth="1"/>
    <col min="1287" max="1536" width="0" style="2" hidden="1"/>
    <col min="1537" max="1537" width="5.7109375" style="2" customWidth="1"/>
    <col min="1538" max="1538" width="19.7109375" style="2" customWidth="1"/>
    <col min="1539" max="1539" width="19.85546875" style="2" customWidth="1"/>
    <col min="1540" max="1540" width="19.7109375" style="2" customWidth="1"/>
    <col min="1541" max="1542" width="9.140625" style="2" customWidth="1"/>
    <col min="1543" max="1792" width="0" style="2" hidden="1"/>
    <col min="1793" max="1793" width="5.7109375" style="2" customWidth="1"/>
    <col min="1794" max="1794" width="19.7109375" style="2" customWidth="1"/>
    <col min="1795" max="1795" width="19.85546875" style="2" customWidth="1"/>
    <col min="1796" max="1796" width="19.7109375" style="2" customWidth="1"/>
    <col min="1797" max="1798" width="9.140625" style="2" customWidth="1"/>
    <col min="1799" max="2048" width="0" style="2" hidden="1"/>
    <col min="2049" max="2049" width="5.7109375" style="2" customWidth="1"/>
    <col min="2050" max="2050" width="19.7109375" style="2" customWidth="1"/>
    <col min="2051" max="2051" width="19.85546875" style="2" customWidth="1"/>
    <col min="2052" max="2052" width="19.7109375" style="2" customWidth="1"/>
    <col min="2053" max="2054" width="9.140625" style="2" customWidth="1"/>
    <col min="2055" max="2304" width="0" style="2" hidden="1"/>
    <col min="2305" max="2305" width="5.7109375" style="2" customWidth="1"/>
    <col min="2306" max="2306" width="19.7109375" style="2" customWidth="1"/>
    <col min="2307" max="2307" width="19.85546875" style="2" customWidth="1"/>
    <col min="2308" max="2308" width="19.7109375" style="2" customWidth="1"/>
    <col min="2309" max="2310" width="9.140625" style="2" customWidth="1"/>
    <col min="2311" max="2560" width="0" style="2" hidden="1"/>
    <col min="2561" max="2561" width="5.7109375" style="2" customWidth="1"/>
    <col min="2562" max="2562" width="19.7109375" style="2" customWidth="1"/>
    <col min="2563" max="2563" width="19.85546875" style="2" customWidth="1"/>
    <col min="2564" max="2564" width="19.7109375" style="2" customWidth="1"/>
    <col min="2565" max="2566" width="9.140625" style="2" customWidth="1"/>
    <col min="2567" max="2816" width="0" style="2" hidden="1"/>
    <col min="2817" max="2817" width="5.7109375" style="2" customWidth="1"/>
    <col min="2818" max="2818" width="19.7109375" style="2" customWidth="1"/>
    <col min="2819" max="2819" width="19.85546875" style="2" customWidth="1"/>
    <col min="2820" max="2820" width="19.7109375" style="2" customWidth="1"/>
    <col min="2821" max="2822" width="9.140625" style="2" customWidth="1"/>
    <col min="2823" max="3072" width="0" style="2" hidden="1"/>
    <col min="3073" max="3073" width="5.7109375" style="2" customWidth="1"/>
    <col min="3074" max="3074" width="19.7109375" style="2" customWidth="1"/>
    <col min="3075" max="3075" width="19.85546875" style="2" customWidth="1"/>
    <col min="3076" max="3076" width="19.7109375" style="2" customWidth="1"/>
    <col min="3077" max="3078" width="9.140625" style="2" customWidth="1"/>
    <col min="3079" max="3328" width="0" style="2" hidden="1"/>
    <col min="3329" max="3329" width="5.7109375" style="2" customWidth="1"/>
    <col min="3330" max="3330" width="19.7109375" style="2" customWidth="1"/>
    <col min="3331" max="3331" width="19.85546875" style="2" customWidth="1"/>
    <col min="3332" max="3332" width="19.7109375" style="2" customWidth="1"/>
    <col min="3333" max="3334" width="9.140625" style="2" customWidth="1"/>
    <col min="3335" max="3584" width="0" style="2" hidden="1"/>
    <col min="3585" max="3585" width="5.7109375" style="2" customWidth="1"/>
    <col min="3586" max="3586" width="19.7109375" style="2" customWidth="1"/>
    <col min="3587" max="3587" width="19.85546875" style="2" customWidth="1"/>
    <col min="3588" max="3588" width="19.7109375" style="2" customWidth="1"/>
    <col min="3589" max="3590" width="9.140625" style="2" customWidth="1"/>
    <col min="3591" max="3840" width="0" style="2" hidden="1"/>
    <col min="3841" max="3841" width="5.7109375" style="2" customWidth="1"/>
    <col min="3842" max="3842" width="19.7109375" style="2" customWidth="1"/>
    <col min="3843" max="3843" width="19.85546875" style="2" customWidth="1"/>
    <col min="3844" max="3844" width="19.7109375" style="2" customWidth="1"/>
    <col min="3845" max="3846" width="9.140625" style="2" customWidth="1"/>
    <col min="3847" max="4096" width="0" style="2" hidden="1"/>
    <col min="4097" max="4097" width="5.7109375" style="2" customWidth="1"/>
    <col min="4098" max="4098" width="19.7109375" style="2" customWidth="1"/>
    <col min="4099" max="4099" width="19.85546875" style="2" customWidth="1"/>
    <col min="4100" max="4100" width="19.7109375" style="2" customWidth="1"/>
    <col min="4101" max="4102" width="9.140625" style="2" customWidth="1"/>
    <col min="4103" max="4352" width="0" style="2" hidden="1"/>
    <col min="4353" max="4353" width="5.7109375" style="2" customWidth="1"/>
    <col min="4354" max="4354" width="19.7109375" style="2" customWidth="1"/>
    <col min="4355" max="4355" width="19.85546875" style="2" customWidth="1"/>
    <col min="4356" max="4356" width="19.7109375" style="2" customWidth="1"/>
    <col min="4357" max="4358" width="9.140625" style="2" customWidth="1"/>
    <col min="4359" max="4608" width="0" style="2" hidden="1"/>
    <col min="4609" max="4609" width="5.7109375" style="2" customWidth="1"/>
    <col min="4610" max="4610" width="19.7109375" style="2" customWidth="1"/>
    <col min="4611" max="4611" width="19.85546875" style="2" customWidth="1"/>
    <col min="4612" max="4612" width="19.7109375" style="2" customWidth="1"/>
    <col min="4613" max="4614" width="9.140625" style="2" customWidth="1"/>
    <col min="4615" max="4864" width="0" style="2" hidden="1"/>
    <col min="4865" max="4865" width="5.7109375" style="2" customWidth="1"/>
    <col min="4866" max="4866" width="19.7109375" style="2" customWidth="1"/>
    <col min="4867" max="4867" width="19.85546875" style="2" customWidth="1"/>
    <col min="4868" max="4868" width="19.7109375" style="2" customWidth="1"/>
    <col min="4869" max="4870" width="9.140625" style="2" customWidth="1"/>
    <col min="4871" max="5120" width="0" style="2" hidden="1"/>
    <col min="5121" max="5121" width="5.7109375" style="2" customWidth="1"/>
    <col min="5122" max="5122" width="19.7109375" style="2" customWidth="1"/>
    <col min="5123" max="5123" width="19.85546875" style="2" customWidth="1"/>
    <col min="5124" max="5124" width="19.7109375" style="2" customWidth="1"/>
    <col min="5125" max="5126" width="9.140625" style="2" customWidth="1"/>
    <col min="5127" max="5376" width="0" style="2" hidden="1"/>
    <col min="5377" max="5377" width="5.7109375" style="2" customWidth="1"/>
    <col min="5378" max="5378" width="19.7109375" style="2" customWidth="1"/>
    <col min="5379" max="5379" width="19.85546875" style="2" customWidth="1"/>
    <col min="5380" max="5380" width="19.7109375" style="2" customWidth="1"/>
    <col min="5381" max="5382" width="9.140625" style="2" customWidth="1"/>
    <col min="5383" max="5632" width="0" style="2" hidden="1"/>
    <col min="5633" max="5633" width="5.7109375" style="2" customWidth="1"/>
    <col min="5634" max="5634" width="19.7109375" style="2" customWidth="1"/>
    <col min="5635" max="5635" width="19.85546875" style="2" customWidth="1"/>
    <col min="5636" max="5636" width="19.7109375" style="2" customWidth="1"/>
    <col min="5637" max="5638" width="9.140625" style="2" customWidth="1"/>
    <col min="5639" max="5888" width="0" style="2" hidden="1"/>
    <col min="5889" max="5889" width="5.7109375" style="2" customWidth="1"/>
    <col min="5890" max="5890" width="19.7109375" style="2" customWidth="1"/>
    <col min="5891" max="5891" width="19.85546875" style="2" customWidth="1"/>
    <col min="5892" max="5892" width="19.7109375" style="2" customWidth="1"/>
    <col min="5893" max="5894" width="9.140625" style="2" customWidth="1"/>
    <col min="5895" max="6144" width="0" style="2" hidden="1"/>
    <col min="6145" max="6145" width="5.7109375" style="2" customWidth="1"/>
    <col min="6146" max="6146" width="19.7109375" style="2" customWidth="1"/>
    <col min="6147" max="6147" width="19.85546875" style="2" customWidth="1"/>
    <col min="6148" max="6148" width="19.7109375" style="2" customWidth="1"/>
    <col min="6149" max="6150" width="9.140625" style="2" customWidth="1"/>
    <col min="6151" max="6400" width="0" style="2" hidden="1"/>
    <col min="6401" max="6401" width="5.7109375" style="2" customWidth="1"/>
    <col min="6402" max="6402" width="19.7109375" style="2" customWidth="1"/>
    <col min="6403" max="6403" width="19.85546875" style="2" customWidth="1"/>
    <col min="6404" max="6404" width="19.7109375" style="2" customWidth="1"/>
    <col min="6405" max="6406" width="9.140625" style="2" customWidth="1"/>
    <col min="6407" max="6656" width="0" style="2" hidden="1"/>
    <col min="6657" max="6657" width="5.7109375" style="2" customWidth="1"/>
    <col min="6658" max="6658" width="19.7109375" style="2" customWidth="1"/>
    <col min="6659" max="6659" width="19.85546875" style="2" customWidth="1"/>
    <col min="6660" max="6660" width="19.7109375" style="2" customWidth="1"/>
    <col min="6661" max="6662" width="9.140625" style="2" customWidth="1"/>
    <col min="6663" max="6912" width="0" style="2" hidden="1"/>
    <col min="6913" max="6913" width="5.7109375" style="2" customWidth="1"/>
    <col min="6914" max="6914" width="19.7109375" style="2" customWidth="1"/>
    <col min="6915" max="6915" width="19.85546875" style="2" customWidth="1"/>
    <col min="6916" max="6916" width="19.7109375" style="2" customWidth="1"/>
    <col min="6917" max="6918" width="9.140625" style="2" customWidth="1"/>
    <col min="6919" max="7168" width="0" style="2" hidden="1"/>
    <col min="7169" max="7169" width="5.7109375" style="2" customWidth="1"/>
    <col min="7170" max="7170" width="19.7109375" style="2" customWidth="1"/>
    <col min="7171" max="7171" width="19.85546875" style="2" customWidth="1"/>
    <col min="7172" max="7172" width="19.7109375" style="2" customWidth="1"/>
    <col min="7173" max="7174" width="9.140625" style="2" customWidth="1"/>
    <col min="7175" max="7424" width="0" style="2" hidden="1"/>
    <col min="7425" max="7425" width="5.7109375" style="2" customWidth="1"/>
    <col min="7426" max="7426" width="19.7109375" style="2" customWidth="1"/>
    <col min="7427" max="7427" width="19.85546875" style="2" customWidth="1"/>
    <col min="7428" max="7428" width="19.7109375" style="2" customWidth="1"/>
    <col min="7429" max="7430" width="9.140625" style="2" customWidth="1"/>
    <col min="7431" max="7680" width="0" style="2" hidden="1"/>
    <col min="7681" max="7681" width="5.7109375" style="2" customWidth="1"/>
    <col min="7682" max="7682" width="19.7109375" style="2" customWidth="1"/>
    <col min="7683" max="7683" width="19.85546875" style="2" customWidth="1"/>
    <col min="7684" max="7684" width="19.7109375" style="2" customWidth="1"/>
    <col min="7685" max="7686" width="9.140625" style="2" customWidth="1"/>
    <col min="7687" max="7936" width="0" style="2" hidden="1"/>
    <col min="7937" max="7937" width="5.7109375" style="2" customWidth="1"/>
    <col min="7938" max="7938" width="19.7109375" style="2" customWidth="1"/>
    <col min="7939" max="7939" width="19.85546875" style="2" customWidth="1"/>
    <col min="7940" max="7940" width="19.7109375" style="2" customWidth="1"/>
    <col min="7941" max="7942" width="9.140625" style="2" customWidth="1"/>
    <col min="7943" max="8192" width="0" style="2" hidden="1"/>
    <col min="8193" max="8193" width="5.7109375" style="2" customWidth="1"/>
    <col min="8194" max="8194" width="19.7109375" style="2" customWidth="1"/>
    <col min="8195" max="8195" width="19.85546875" style="2" customWidth="1"/>
    <col min="8196" max="8196" width="19.7109375" style="2" customWidth="1"/>
    <col min="8197" max="8198" width="9.140625" style="2" customWidth="1"/>
    <col min="8199" max="8448" width="0" style="2" hidden="1"/>
    <col min="8449" max="8449" width="5.7109375" style="2" customWidth="1"/>
    <col min="8450" max="8450" width="19.7109375" style="2" customWidth="1"/>
    <col min="8451" max="8451" width="19.85546875" style="2" customWidth="1"/>
    <col min="8452" max="8452" width="19.7109375" style="2" customWidth="1"/>
    <col min="8453" max="8454" width="9.140625" style="2" customWidth="1"/>
    <col min="8455" max="8704" width="0" style="2" hidden="1"/>
    <col min="8705" max="8705" width="5.7109375" style="2" customWidth="1"/>
    <col min="8706" max="8706" width="19.7109375" style="2" customWidth="1"/>
    <col min="8707" max="8707" width="19.85546875" style="2" customWidth="1"/>
    <col min="8708" max="8708" width="19.7109375" style="2" customWidth="1"/>
    <col min="8709" max="8710" width="9.140625" style="2" customWidth="1"/>
    <col min="8711" max="8960" width="0" style="2" hidden="1"/>
    <col min="8961" max="8961" width="5.7109375" style="2" customWidth="1"/>
    <col min="8962" max="8962" width="19.7109375" style="2" customWidth="1"/>
    <col min="8963" max="8963" width="19.85546875" style="2" customWidth="1"/>
    <col min="8964" max="8964" width="19.7109375" style="2" customWidth="1"/>
    <col min="8965" max="8966" width="9.140625" style="2" customWidth="1"/>
    <col min="8967" max="9216" width="0" style="2" hidden="1"/>
    <col min="9217" max="9217" width="5.7109375" style="2" customWidth="1"/>
    <col min="9218" max="9218" width="19.7109375" style="2" customWidth="1"/>
    <col min="9219" max="9219" width="19.85546875" style="2" customWidth="1"/>
    <col min="9220" max="9220" width="19.7109375" style="2" customWidth="1"/>
    <col min="9221" max="9222" width="9.140625" style="2" customWidth="1"/>
    <col min="9223" max="9472" width="0" style="2" hidden="1"/>
    <col min="9473" max="9473" width="5.7109375" style="2" customWidth="1"/>
    <col min="9474" max="9474" width="19.7109375" style="2" customWidth="1"/>
    <col min="9475" max="9475" width="19.85546875" style="2" customWidth="1"/>
    <col min="9476" max="9476" width="19.7109375" style="2" customWidth="1"/>
    <col min="9477" max="9478" width="9.140625" style="2" customWidth="1"/>
    <col min="9479" max="9728" width="0" style="2" hidden="1"/>
    <col min="9729" max="9729" width="5.7109375" style="2" customWidth="1"/>
    <col min="9730" max="9730" width="19.7109375" style="2" customWidth="1"/>
    <col min="9731" max="9731" width="19.85546875" style="2" customWidth="1"/>
    <col min="9732" max="9732" width="19.7109375" style="2" customWidth="1"/>
    <col min="9733" max="9734" width="9.140625" style="2" customWidth="1"/>
    <col min="9735" max="9984" width="0" style="2" hidden="1"/>
    <col min="9985" max="9985" width="5.7109375" style="2" customWidth="1"/>
    <col min="9986" max="9986" width="19.7109375" style="2" customWidth="1"/>
    <col min="9987" max="9987" width="19.85546875" style="2" customWidth="1"/>
    <col min="9988" max="9988" width="19.7109375" style="2" customWidth="1"/>
    <col min="9989" max="9990" width="9.140625" style="2" customWidth="1"/>
    <col min="9991" max="10240" width="0" style="2" hidden="1"/>
    <col min="10241" max="10241" width="5.7109375" style="2" customWidth="1"/>
    <col min="10242" max="10242" width="19.7109375" style="2" customWidth="1"/>
    <col min="10243" max="10243" width="19.85546875" style="2" customWidth="1"/>
    <col min="10244" max="10244" width="19.7109375" style="2" customWidth="1"/>
    <col min="10245" max="10246" width="9.140625" style="2" customWidth="1"/>
    <col min="10247" max="10496" width="0" style="2" hidden="1"/>
    <col min="10497" max="10497" width="5.7109375" style="2" customWidth="1"/>
    <col min="10498" max="10498" width="19.7109375" style="2" customWidth="1"/>
    <col min="10499" max="10499" width="19.85546875" style="2" customWidth="1"/>
    <col min="10500" max="10500" width="19.7109375" style="2" customWidth="1"/>
    <col min="10501" max="10502" width="9.140625" style="2" customWidth="1"/>
    <col min="10503" max="10752" width="0" style="2" hidden="1"/>
    <col min="10753" max="10753" width="5.7109375" style="2" customWidth="1"/>
    <col min="10754" max="10754" width="19.7109375" style="2" customWidth="1"/>
    <col min="10755" max="10755" width="19.85546875" style="2" customWidth="1"/>
    <col min="10756" max="10756" width="19.7109375" style="2" customWidth="1"/>
    <col min="10757" max="10758" width="9.140625" style="2" customWidth="1"/>
    <col min="10759" max="11008" width="0" style="2" hidden="1"/>
    <col min="11009" max="11009" width="5.7109375" style="2" customWidth="1"/>
    <col min="11010" max="11010" width="19.7109375" style="2" customWidth="1"/>
    <col min="11011" max="11011" width="19.85546875" style="2" customWidth="1"/>
    <col min="11012" max="11012" width="19.7109375" style="2" customWidth="1"/>
    <col min="11013" max="11014" width="9.140625" style="2" customWidth="1"/>
    <col min="11015" max="11264" width="0" style="2" hidden="1"/>
    <col min="11265" max="11265" width="5.7109375" style="2" customWidth="1"/>
    <col min="11266" max="11266" width="19.7109375" style="2" customWidth="1"/>
    <col min="11267" max="11267" width="19.85546875" style="2" customWidth="1"/>
    <col min="11268" max="11268" width="19.7109375" style="2" customWidth="1"/>
    <col min="11269" max="11270" width="9.140625" style="2" customWidth="1"/>
    <col min="11271" max="11520" width="0" style="2" hidden="1"/>
    <col min="11521" max="11521" width="5.7109375" style="2" customWidth="1"/>
    <col min="11522" max="11522" width="19.7109375" style="2" customWidth="1"/>
    <col min="11523" max="11523" width="19.85546875" style="2" customWidth="1"/>
    <col min="11524" max="11524" width="19.7109375" style="2" customWidth="1"/>
    <col min="11525" max="11526" width="9.140625" style="2" customWidth="1"/>
    <col min="11527" max="11776" width="0" style="2" hidden="1"/>
    <col min="11777" max="11777" width="5.7109375" style="2" customWidth="1"/>
    <col min="11778" max="11778" width="19.7109375" style="2" customWidth="1"/>
    <col min="11779" max="11779" width="19.85546875" style="2" customWidth="1"/>
    <col min="11780" max="11780" width="19.7109375" style="2" customWidth="1"/>
    <col min="11781" max="11782" width="9.140625" style="2" customWidth="1"/>
    <col min="11783" max="12032" width="0" style="2" hidden="1"/>
    <col min="12033" max="12033" width="5.7109375" style="2" customWidth="1"/>
    <col min="12034" max="12034" width="19.7109375" style="2" customWidth="1"/>
    <col min="12035" max="12035" width="19.85546875" style="2" customWidth="1"/>
    <col min="12036" max="12036" width="19.7109375" style="2" customWidth="1"/>
    <col min="12037" max="12038" width="9.140625" style="2" customWidth="1"/>
    <col min="12039" max="12288" width="0" style="2" hidden="1"/>
    <col min="12289" max="12289" width="5.7109375" style="2" customWidth="1"/>
    <col min="12290" max="12290" width="19.7109375" style="2" customWidth="1"/>
    <col min="12291" max="12291" width="19.85546875" style="2" customWidth="1"/>
    <col min="12292" max="12292" width="19.7109375" style="2" customWidth="1"/>
    <col min="12293" max="12294" width="9.140625" style="2" customWidth="1"/>
    <col min="12295" max="12544" width="0" style="2" hidden="1"/>
    <col min="12545" max="12545" width="5.7109375" style="2" customWidth="1"/>
    <col min="12546" max="12546" width="19.7109375" style="2" customWidth="1"/>
    <col min="12547" max="12547" width="19.85546875" style="2" customWidth="1"/>
    <col min="12548" max="12548" width="19.7109375" style="2" customWidth="1"/>
    <col min="12549" max="12550" width="9.140625" style="2" customWidth="1"/>
    <col min="12551" max="12800" width="0" style="2" hidden="1"/>
    <col min="12801" max="12801" width="5.7109375" style="2" customWidth="1"/>
    <col min="12802" max="12802" width="19.7109375" style="2" customWidth="1"/>
    <col min="12803" max="12803" width="19.85546875" style="2" customWidth="1"/>
    <col min="12804" max="12804" width="19.7109375" style="2" customWidth="1"/>
    <col min="12805" max="12806" width="9.140625" style="2" customWidth="1"/>
    <col min="12807" max="13056" width="0" style="2" hidden="1"/>
    <col min="13057" max="13057" width="5.7109375" style="2" customWidth="1"/>
    <col min="13058" max="13058" width="19.7109375" style="2" customWidth="1"/>
    <col min="13059" max="13059" width="19.85546875" style="2" customWidth="1"/>
    <col min="13060" max="13060" width="19.7109375" style="2" customWidth="1"/>
    <col min="13061" max="13062" width="9.140625" style="2" customWidth="1"/>
    <col min="13063" max="13312" width="0" style="2" hidden="1"/>
    <col min="13313" max="13313" width="5.7109375" style="2" customWidth="1"/>
    <col min="13314" max="13314" width="19.7109375" style="2" customWidth="1"/>
    <col min="13315" max="13315" width="19.85546875" style="2" customWidth="1"/>
    <col min="13316" max="13316" width="19.7109375" style="2" customWidth="1"/>
    <col min="13317" max="13318" width="9.140625" style="2" customWidth="1"/>
    <col min="13319" max="13568" width="0" style="2" hidden="1"/>
    <col min="13569" max="13569" width="5.7109375" style="2" customWidth="1"/>
    <col min="13570" max="13570" width="19.7109375" style="2" customWidth="1"/>
    <col min="13571" max="13571" width="19.85546875" style="2" customWidth="1"/>
    <col min="13572" max="13572" width="19.7109375" style="2" customWidth="1"/>
    <col min="13573" max="13574" width="9.140625" style="2" customWidth="1"/>
    <col min="13575" max="13824" width="0" style="2" hidden="1"/>
    <col min="13825" max="13825" width="5.7109375" style="2" customWidth="1"/>
    <col min="13826" max="13826" width="19.7109375" style="2" customWidth="1"/>
    <col min="13827" max="13827" width="19.85546875" style="2" customWidth="1"/>
    <col min="13828" max="13828" width="19.7109375" style="2" customWidth="1"/>
    <col min="13829" max="13830" width="9.140625" style="2" customWidth="1"/>
    <col min="13831" max="14080" width="0" style="2" hidden="1"/>
    <col min="14081" max="14081" width="5.7109375" style="2" customWidth="1"/>
    <col min="14082" max="14082" width="19.7109375" style="2" customWidth="1"/>
    <col min="14083" max="14083" width="19.85546875" style="2" customWidth="1"/>
    <col min="14084" max="14084" width="19.7109375" style="2" customWidth="1"/>
    <col min="14085" max="14086" width="9.140625" style="2" customWidth="1"/>
    <col min="14087" max="14336" width="0" style="2" hidden="1"/>
    <col min="14337" max="14337" width="5.7109375" style="2" customWidth="1"/>
    <col min="14338" max="14338" width="19.7109375" style="2" customWidth="1"/>
    <col min="14339" max="14339" width="19.85546875" style="2" customWidth="1"/>
    <col min="14340" max="14340" width="19.7109375" style="2" customWidth="1"/>
    <col min="14341" max="14342" width="9.140625" style="2" customWidth="1"/>
    <col min="14343" max="14592" width="0" style="2" hidden="1"/>
    <col min="14593" max="14593" width="5.7109375" style="2" customWidth="1"/>
    <col min="14594" max="14594" width="19.7109375" style="2" customWidth="1"/>
    <col min="14595" max="14595" width="19.85546875" style="2" customWidth="1"/>
    <col min="14596" max="14596" width="19.7109375" style="2" customWidth="1"/>
    <col min="14597" max="14598" width="9.140625" style="2" customWidth="1"/>
    <col min="14599" max="14848" width="0" style="2" hidden="1"/>
    <col min="14849" max="14849" width="5.7109375" style="2" customWidth="1"/>
    <col min="14850" max="14850" width="19.7109375" style="2" customWidth="1"/>
    <col min="14851" max="14851" width="19.85546875" style="2" customWidth="1"/>
    <col min="14852" max="14852" width="19.7109375" style="2" customWidth="1"/>
    <col min="14853" max="14854" width="9.140625" style="2" customWidth="1"/>
    <col min="14855" max="15104" width="0" style="2" hidden="1"/>
    <col min="15105" max="15105" width="5.7109375" style="2" customWidth="1"/>
    <col min="15106" max="15106" width="19.7109375" style="2" customWidth="1"/>
    <col min="15107" max="15107" width="19.85546875" style="2" customWidth="1"/>
    <col min="15108" max="15108" width="19.7109375" style="2" customWidth="1"/>
    <col min="15109" max="15110" width="9.140625" style="2" customWidth="1"/>
    <col min="15111" max="15360" width="0" style="2" hidden="1"/>
    <col min="15361" max="15361" width="5.7109375" style="2" customWidth="1"/>
    <col min="15362" max="15362" width="19.7109375" style="2" customWidth="1"/>
    <col min="15363" max="15363" width="19.85546875" style="2" customWidth="1"/>
    <col min="15364" max="15364" width="19.7109375" style="2" customWidth="1"/>
    <col min="15365" max="15366" width="9.140625" style="2" customWidth="1"/>
    <col min="15367" max="15616" width="0" style="2" hidden="1"/>
    <col min="15617" max="15617" width="5.7109375" style="2" customWidth="1"/>
    <col min="15618" max="15618" width="19.7109375" style="2" customWidth="1"/>
    <col min="15619" max="15619" width="19.85546875" style="2" customWidth="1"/>
    <col min="15620" max="15620" width="19.7109375" style="2" customWidth="1"/>
    <col min="15621" max="15622" width="9.140625" style="2" customWidth="1"/>
    <col min="15623" max="15872" width="0" style="2" hidden="1"/>
    <col min="15873" max="15873" width="5.7109375" style="2" customWidth="1"/>
    <col min="15874" max="15874" width="19.7109375" style="2" customWidth="1"/>
    <col min="15875" max="15875" width="19.85546875" style="2" customWidth="1"/>
    <col min="15876" max="15876" width="19.7109375" style="2" customWidth="1"/>
    <col min="15877" max="15878" width="9.140625" style="2" customWidth="1"/>
    <col min="15879" max="16128" width="0" style="2" hidden="1"/>
    <col min="16129" max="16129" width="5.7109375" style="2" customWidth="1"/>
    <col min="16130" max="16130" width="19.7109375" style="2" customWidth="1"/>
    <col min="16131" max="16131" width="19.85546875" style="2" customWidth="1"/>
    <col min="16132" max="16132" width="19.7109375" style="2" customWidth="1"/>
    <col min="16133" max="16134" width="9.140625" style="2" customWidth="1"/>
    <col min="16135" max="16384" width="0" style="2" hidden="1"/>
  </cols>
  <sheetData>
    <row r="1" spans="1:12" ht="21" x14ac:dyDescent="0.25">
      <c r="A1" s="23" t="s">
        <v>43</v>
      </c>
      <c r="B1" s="23"/>
      <c r="C1" s="23"/>
      <c r="D1" s="23"/>
      <c r="E1" s="63"/>
      <c r="F1" s="63"/>
      <c r="G1" s="1"/>
      <c r="H1" s="64"/>
      <c r="I1" s="64"/>
      <c r="J1" s="64"/>
      <c r="K1" s="64"/>
      <c r="L1" s="64"/>
    </row>
    <row r="2" spans="1:12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3.5" thickBot="1" x14ac:dyDescent="0.25">
      <c r="B3" s="64" t="s">
        <v>44</v>
      </c>
    </row>
    <row r="4" spans="1:12" x14ac:dyDescent="0.2">
      <c r="B4" s="60" t="s">
        <v>14</v>
      </c>
      <c r="C4" s="87">
        <f>Temperatura!B13</f>
        <v>1</v>
      </c>
      <c r="D4" s="62"/>
      <c r="F4" s="62"/>
    </row>
    <row r="5" spans="1:12" x14ac:dyDescent="0.2">
      <c r="B5" s="61" t="s">
        <v>15</v>
      </c>
      <c r="C5" s="88">
        <f>Temperatura!C13</f>
        <v>-292.37064069894433</v>
      </c>
      <c r="D5" s="9" t="str">
        <f>IF(C4=0,"Er is maar één, altijd reele, oplossing","")</f>
        <v/>
      </c>
    </row>
    <row r="6" spans="1:12" ht="13.5" thickBot="1" x14ac:dyDescent="0.25">
      <c r="B6" s="65" t="s">
        <v>16</v>
      </c>
      <c r="C6" s="89">
        <f>Temperatura!D13</f>
        <v>-171.83224602047753</v>
      </c>
    </row>
    <row r="7" spans="1:12" ht="13.5" thickBot="1" x14ac:dyDescent="0.25">
      <c r="B7" s="66" t="s">
        <v>45</v>
      </c>
      <c r="C7" s="90">
        <v>2</v>
      </c>
      <c r="D7" s="67" t="s">
        <v>38</v>
      </c>
    </row>
    <row r="8" spans="1:12" ht="13.5" thickBot="1" x14ac:dyDescent="0.25"/>
    <row r="9" spans="1:12" ht="13.5" thickBot="1" x14ac:dyDescent="0.25">
      <c r="C9" s="68" t="s">
        <v>39</v>
      </c>
      <c r="D9" s="69" t="s">
        <v>40</v>
      </c>
    </row>
    <row r="10" spans="1:12" ht="17.25" customHeight="1" x14ac:dyDescent="0.25">
      <c r="B10" s="70" t="s">
        <v>46</v>
      </c>
      <c r="C10" s="85">
        <f>IF(OR(C52&gt;0,C52=0),F53,I54)</f>
        <v>292.9571845867921</v>
      </c>
      <c r="D10" s="71" t="str">
        <f>IF(C52&lt;0,J54,"")</f>
        <v/>
      </c>
    </row>
    <row r="11" spans="1:12" ht="17.25" customHeight="1" thickBot="1" x14ac:dyDescent="0.3">
      <c r="B11" s="72" t="s">
        <v>47</v>
      </c>
      <c r="C11" s="86">
        <f>IF(OR(C52&gt;0,C52=0),F54,I55)</f>
        <v>-0.58654388784776756</v>
      </c>
      <c r="D11" s="73" t="str">
        <f>IF(C52&lt;0,J55,"")</f>
        <v/>
      </c>
    </row>
    <row r="12" spans="1:12" x14ac:dyDescent="0.2"/>
    <row r="13" spans="1:12" ht="13.5" thickBot="1" x14ac:dyDescent="0.25">
      <c r="B13" s="64" t="s">
        <v>48</v>
      </c>
      <c r="C13" s="62"/>
    </row>
    <row r="14" spans="1:12" ht="14.25" x14ac:dyDescent="0.2">
      <c r="B14" s="74" t="s">
        <v>49</v>
      </c>
      <c r="C14" s="75" t="str">
        <f>IF(C52&gt;=0,F62,I63)</f>
        <v>+ 292.96</v>
      </c>
      <c r="D14" s="24"/>
      <c r="E14" s="24"/>
    </row>
    <row r="15" spans="1:12" ht="15" thickBot="1" x14ac:dyDescent="0.25">
      <c r="A15" s="62"/>
      <c r="B15" s="76" t="s">
        <v>50</v>
      </c>
      <c r="C15" s="77" t="str">
        <f>IF(C52&gt;0,F63,I64)</f>
        <v>- 0.59</v>
      </c>
      <c r="D15" s="24"/>
      <c r="E15" s="24"/>
    </row>
    <row r="16" spans="1:12" x14ac:dyDescent="0.2">
      <c r="A16" s="62"/>
      <c r="B16" s="62"/>
    </row>
    <row r="17" spans="1:2" hidden="1" x14ac:dyDescent="0.2">
      <c r="A17" s="62"/>
      <c r="B17" s="62"/>
    </row>
    <row r="18" spans="1:2" hidden="1" x14ac:dyDescent="0.2">
      <c r="A18" s="62"/>
      <c r="B18" s="62"/>
    </row>
    <row r="19" spans="1:2" hidden="1" x14ac:dyDescent="0.2">
      <c r="A19" s="62"/>
      <c r="B19" s="62"/>
    </row>
    <row r="20" spans="1:2" hidden="1" x14ac:dyDescent="0.2">
      <c r="A20" s="62"/>
      <c r="B20" s="62"/>
    </row>
    <row r="21" spans="1:2" hidden="1" x14ac:dyDescent="0.2">
      <c r="A21" s="62"/>
      <c r="B21" s="62"/>
    </row>
    <row r="22" spans="1:2" hidden="1" x14ac:dyDescent="0.2">
      <c r="A22" s="62"/>
      <c r="B22" s="62"/>
    </row>
    <row r="23" spans="1:2" hidden="1" x14ac:dyDescent="0.2">
      <c r="A23" s="62"/>
      <c r="B23" s="62"/>
    </row>
    <row r="24" spans="1:2" hidden="1" x14ac:dyDescent="0.2">
      <c r="A24" s="62"/>
      <c r="B24" s="62"/>
    </row>
    <row r="25" spans="1:2" hidden="1" x14ac:dyDescent="0.2">
      <c r="A25" s="62"/>
      <c r="B25" s="62"/>
    </row>
    <row r="26" spans="1:2" hidden="1" x14ac:dyDescent="0.2">
      <c r="A26" s="62"/>
      <c r="B26" s="62"/>
    </row>
    <row r="27" spans="1:2" hidden="1" x14ac:dyDescent="0.2">
      <c r="A27" s="62"/>
      <c r="B27" s="62"/>
    </row>
    <row r="28" spans="1:2" hidden="1" x14ac:dyDescent="0.2">
      <c r="A28" s="62"/>
      <c r="B28" s="62"/>
    </row>
    <row r="29" spans="1:2" hidden="1" x14ac:dyDescent="0.2">
      <c r="A29" s="62"/>
      <c r="B29" s="62"/>
    </row>
    <row r="30" spans="1:2" hidden="1" x14ac:dyDescent="0.2">
      <c r="A30" s="62"/>
      <c r="B30" s="62"/>
    </row>
    <row r="31" spans="1:2" hidden="1" x14ac:dyDescent="0.2">
      <c r="A31" s="62"/>
      <c r="B31" s="62"/>
    </row>
    <row r="32" spans="1:2" hidden="1" x14ac:dyDescent="0.2">
      <c r="A32" s="62"/>
      <c r="B32" s="62"/>
    </row>
    <row r="33" spans="1:2" hidden="1" x14ac:dyDescent="0.2">
      <c r="A33" s="62"/>
      <c r="B33" s="62"/>
    </row>
    <row r="34" spans="1:2" hidden="1" x14ac:dyDescent="0.2">
      <c r="A34" s="62"/>
      <c r="B34" s="62"/>
    </row>
    <row r="35" spans="1:2" hidden="1" x14ac:dyDescent="0.2">
      <c r="A35" s="62"/>
      <c r="B35" s="62"/>
    </row>
    <row r="36" spans="1:2" hidden="1" x14ac:dyDescent="0.2">
      <c r="A36" s="62"/>
      <c r="B36" s="62"/>
    </row>
    <row r="37" spans="1:2" hidden="1" x14ac:dyDescent="0.2">
      <c r="A37" s="62"/>
      <c r="B37" s="62"/>
    </row>
    <row r="38" spans="1:2" hidden="1" x14ac:dyDescent="0.2">
      <c r="A38" s="62"/>
      <c r="B38" s="62"/>
    </row>
    <row r="39" spans="1:2" hidden="1" x14ac:dyDescent="0.2">
      <c r="A39" s="62"/>
      <c r="B39" s="62"/>
    </row>
    <row r="40" spans="1:2" hidden="1" x14ac:dyDescent="0.2">
      <c r="A40" s="62"/>
      <c r="B40" s="62"/>
    </row>
    <row r="41" spans="1:2" hidden="1" x14ac:dyDescent="0.2">
      <c r="A41" s="62"/>
      <c r="B41" s="62"/>
    </row>
    <row r="42" spans="1:2" hidden="1" x14ac:dyDescent="0.2">
      <c r="A42" s="62"/>
      <c r="B42" s="62"/>
    </row>
    <row r="43" spans="1:2" hidden="1" x14ac:dyDescent="0.2">
      <c r="A43" s="62"/>
      <c r="B43" s="62"/>
    </row>
    <row r="44" spans="1:2" hidden="1" x14ac:dyDescent="0.2">
      <c r="A44" s="62"/>
      <c r="B44" s="62"/>
    </row>
    <row r="45" spans="1:2" hidden="1" x14ac:dyDescent="0.2">
      <c r="A45" s="62"/>
      <c r="B45" s="62"/>
    </row>
    <row r="46" spans="1:2" hidden="1" x14ac:dyDescent="0.2">
      <c r="A46" s="62"/>
      <c r="B46" s="62"/>
    </row>
    <row r="47" spans="1:2" hidden="1" x14ac:dyDescent="0.2">
      <c r="A47" s="62"/>
      <c r="B47" s="62"/>
    </row>
    <row r="48" spans="1:2" hidden="1" x14ac:dyDescent="0.2">
      <c r="A48" s="62"/>
      <c r="B48" s="62"/>
    </row>
    <row r="49" spans="1:11" hidden="1" x14ac:dyDescent="0.2">
      <c r="A49" s="62"/>
      <c r="B49" s="62"/>
    </row>
    <row r="50" spans="1:11" hidden="1" x14ac:dyDescent="0.2">
      <c r="B50" s="78" t="s">
        <v>51</v>
      </c>
      <c r="C50" s="79"/>
      <c r="D50" s="79"/>
      <c r="E50" s="79"/>
      <c r="F50" s="79"/>
      <c r="G50" s="79"/>
      <c r="H50" s="79"/>
      <c r="I50" s="79"/>
      <c r="J50" s="79"/>
    </row>
    <row r="51" spans="1:11" hidden="1" x14ac:dyDescent="0.2">
      <c r="B51" s="79"/>
      <c r="C51" s="79"/>
      <c r="D51" s="79"/>
      <c r="E51" s="79"/>
      <c r="F51" s="79"/>
      <c r="G51" s="79"/>
      <c r="H51" s="79"/>
      <c r="I51" s="79"/>
      <c r="J51" s="79"/>
      <c r="K51" s="80"/>
    </row>
    <row r="52" spans="1:11" hidden="1" x14ac:dyDescent="0.2">
      <c r="B52" s="81" t="s">
        <v>52</v>
      </c>
      <c r="C52" s="79">
        <f>C5^2-4*C4*C6</f>
        <v>86167.92052679311</v>
      </c>
      <c r="D52" s="79"/>
      <c r="E52" s="145" t="s">
        <v>53</v>
      </c>
      <c r="F52" s="145"/>
      <c r="G52" s="79"/>
      <c r="H52" s="145" t="s">
        <v>54</v>
      </c>
      <c r="I52" s="145"/>
      <c r="J52" s="145"/>
    </row>
    <row r="53" spans="1:11" ht="14.25" hidden="1" x14ac:dyDescent="0.2">
      <c r="B53" s="79" t="s">
        <v>19</v>
      </c>
      <c r="C53" s="79">
        <f>SQRT(C52)</f>
        <v>293.54372847463986</v>
      </c>
      <c r="D53" s="79"/>
      <c r="E53" s="82" t="s">
        <v>17</v>
      </c>
      <c r="F53" s="79">
        <f>(-C5+C53)/(2*C4)</f>
        <v>292.9571845867921</v>
      </c>
      <c r="G53" s="79"/>
      <c r="H53" s="79"/>
      <c r="I53" s="83" t="s">
        <v>55</v>
      </c>
      <c r="J53" s="83" t="s">
        <v>56</v>
      </c>
    </row>
    <row r="54" spans="1:11" ht="15.75" hidden="1" x14ac:dyDescent="0.3">
      <c r="B54" s="79" t="s">
        <v>57</v>
      </c>
      <c r="C54" s="79" t="e">
        <f>SQRT(-C52)</f>
        <v>#NUM!</v>
      </c>
      <c r="D54" s="79"/>
      <c r="E54" s="82" t="s">
        <v>18</v>
      </c>
      <c r="F54" s="79">
        <f>(-C5-C53)/(2*C4)</f>
        <v>-0.58654388784776756</v>
      </c>
      <c r="G54" s="79"/>
      <c r="H54" s="82" t="s">
        <v>20</v>
      </c>
      <c r="I54" s="84">
        <f>-(C5)/(2*C4)</f>
        <v>146.18532034947216</v>
      </c>
      <c r="J54" s="84" t="e">
        <f>(C54)/C55</f>
        <v>#NUM!</v>
      </c>
    </row>
    <row r="55" spans="1:11" ht="15.75" hidden="1" x14ac:dyDescent="0.3">
      <c r="B55" s="79" t="s">
        <v>58</v>
      </c>
      <c r="C55" s="79">
        <f>2*C4</f>
        <v>2</v>
      </c>
      <c r="D55" s="79"/>
      <c r="E55" s="145" t="s">
        <v>59</v>
      </c>
      <c r="F55" s="145"/>
      <c r="G55" s="79"/>
      <c r="H55" s="82" t="s">
        <v>21</v>
      </c>
      <c r="I55" s="84">
        <f>-(C5)/(2*C4)</f>
        <v>146.18532034947216</v>
      </c>
      <c r="J55" s="84" t="e">
        <f>-(C54)/C55</f>
        <v>#NUM!</v>
      </c>
    </row>
    <row r="56" spans="1:11" hidden="1" x14ac:dyDescent="0.2">
      <c r="B56" s="79"/>
      <c r="C56" s="79"/>
      <c r="D56" s="79"/>
      <c r="E56" s="79" t="s">
        <v>60</v>
      </c>
      <c r="F56" s="79" t="str">
        <f>IF(F53&gt;0,"+","-")</f>
        <v>+</v>
      </c>
      <c r="G56" s="79"/>
      <c r="H56" s="145" t="s">
        <v>61</v>
      </c>
      <c r="I56" s="145"/>
      <c r="J56" s="145"/>
    </row>
    <row r="57" spans="1:11" hidden="1" x14ac:dyDescent="0.2">
      <c r="B57" s="79"/>
      <c r="C57" s="79"/>
      <c r="D57" s="79"/>
      <c r="E57" s="79" t="s">
        <v>62</v>
      </c>
      <c r="F57" s="79" t="str">
        <f>IF(F54&gt;0,"+","-")</f>
        <v>-</v>
      </c>
      <c r="G57" s="79"/>
      <c r="H57" s="79" t="s">
        <v>60</v>
      </c>
      <c r="I57" s="82" t="str">
        <f>IF(I54&gt;0,"+","-")</f>
        <v>+</v>
      </c>
      <c r="J57" s="82" t="e">
        <f>IF(J54&gt;0,"+","-")</f>
        <v>#NUM!</v>
      </c>
    </row>
    <row r="58" spans="1:11" hidden="1" x14ac:dyDescent="0.2">
      <c r="B58" s="79"/>
      <c r="C58" s="79"/>
      <c r="D58" s="79"/>
      <c r="E58" s="145" t="s">
        <v>63</v>
      </c>
      <c r="F58" s="145"/>
      <c r="G58" s="79"/>
      <c r="H58" s="79" t="s">
        <v>62</v>
      </c>
      <c r="I58" s="82" t="str">
        <f>IF(I55&gt;0,"+","-")</f>
        <v>+</v>
      </c>
      <c r="J58" s="82" t="e">
        <f>IF(J55&gt;0,"+","-")</f>
        <v>#NUM!</v>
      </c>
    </row>
    <row r="59" spans="1:11" hidden="1" x14ac:dyDescent="0.2">
      <c r="B59" s="79"/>
      <c r="C59" s="79"/>
      <c r="D59" s="79"/>
      <c r="E59" s="79" t="s">
        <v>64</v>
      </c>
      <c r="F59" s="79" t="str">
        <f>FIXED(ABS(F53),C7,TRUE)</f>
        <v>292.96</v>
      </c>
      <c r="G59" s="79"/>
      <c r="H59" s="145" t="s">
        <v>65</v>
      </c>
      <c r="I59" s="145"/>
      <c r="J59" s="145"/>
    </row>
    <row r="60" spans="1:11" hidden="1" x14ac:dyDescent="0.2">
      <c r="B60" s="79"/>
      <c r="C60" s="79"/>
      <c r="D60" s="79"/>
      <c r="E60" s="79" t="s">
        <v>66</v>
      </c>
      <c r="F60" s="79" t="str">
        <f>FIXED(ABS(F54),C7,TRUE)</f>
        <v>0.59</v>
      </c>
      <c r="G60" s="79"/>
      <c r="H60" s="79" t="s">
        <v>64</v>
      </c>
      <c r="I60" s="79" t="str">
        <f>FIXED(ABS(I54),C7,TRUE)</f>
        <v>146.19</v>
      </c>
      <c r="J60" s="79" t="e">
        <f>FIXED(ABS(J54),C7,TRUE)</f>
        <v>#NUM!</v>
      </c>
    </row>
    <row r="61" spans="1:11" hidden="1" x14ac:dyDescent="0.2">
      <c r="B61" s="79"/>
      <c r="C61" s="79"/>
      <c r="D61" s="79"/>
      <c r="E61" s="145" t="s">
        <v>67</v>
      </c>
      <c r="F61" s="145"/>
      <c r="G61" s="79"/>
      <c r="H61" s="79" t="s">
        <v>66</v>
      </c>
      <c r="I61" s="79" t="str">
        <f>FIXED(ABS(I55),C7,TRUE)</f>
        <v>146.19</v>
      </c>
      <c r="J61" s="79" t="e">
        <f>FIXED(ABS(J55),C7,TRUE)</f>
        <v>#NUM!</v>
      </c>
    </row>
    <row r="62" spans="1:11" hidden="1" x14ac:dyDescent="0.2">
      <c r="B62" s="79"/>
      <c r="C62" s="79"/>
      <c r="D62" s="79"/>
      <c r="E62" s="79" t="s">
        <v>68</v>
      </c>
      <c r="F62" s="79" t="str">
        <f>F56&amp;" "&amp;F59</f>
        <v>+ 292.96</v>
      </c>
      <c r="G62" s="79"/>
      <c r="H62" s="145" t="s">
        <v>67</v>
      </c>
      <c r="I62" s="145"/>
      <c r="J62" s="145"/>
    </row>
    <row r="63" spans="1:11" hidden="1" x14ac:dyDescent="0.2">
      <c r="B63" s="79"/>
      <c r="C63" s="79"/>
      <c r="D63" s="79"/>
      <c r="E63" s="79" t="s">
        <v>66</v>
      </c>
      <c r="F63" s="79" t="str">
        <f>F57&amp;" "&amp;F60</f>
        <v>- 0.59</v>
      </c>
      <c r="G63" s="79"/>
      <c r="H63" s="79" t="s">
        <v>68</v>
      </c>
      <c r="I63" s="146" t="e">
        <f>I57&amp;" "&amp;I60&amp;" "&amp;J57&amp;" "&amp;J60&amp;" "&amp;"j"</f>
        <v>#NUM!</v>
      </c>
      <c r="J63" s="146"/>
    </row>
    <row r="64" spans="1:11" hidden="1" x14ac:dyDescent="0.2">
      <c r="B64" s="79"/>
      <c r="C64" s="79"/>
      <c r="D64" s="79"/>
      <c r="E64" s="79"/>
      <c r="F64" s="79"/>
      <c r="G64" s="79"/>
      <c r="H64" s="79" t="s">
        <v>66</v>
      </c>
      <c r="I64" s="146" t="e">
        <f>I58&amp;" "&amp;I61&amp;" "&amp;J58&amp;" "&amp;J61&amp;" "&amp;"j"</f>
        <v>#NUM!</v>
      </c>
      <c r="J64" s="146"/>
    </row>
  </sheetData>
  <mergeCells count="10">
    <mergeCell ref="E61:F61"/>
    <mergeCell ref="H62:J62"/>
    <mergeCell ref="I63:J63"/>
    <mergeCell ref="I64:J64"/>
    <mergeCell ref="E52:F52"/>
    <mergeCell ref="H52:J52"/>
    <mergeCell ref="E55:F55"/>
    <mergeCell ref="H56:J56"/>
    <mergeCell ref="E58:F58"/>
    <mergeCell ref="H59:J59"/>
  </mergeCells>
  <pageMargins left="0.75" right="0.75" top="1" bottom="1" header="0.5" footer="0.5"/>
  <pageSetup paperSize="9" orientation="portrait" horizontalDpi="150" verticalDpi="150" r:id="rId1"/>
  <headerFooter alignWithMargins="0"/>
  <customProperties>
    <customPr name="SSC_SHEET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AA28E-5E71-41DD-8ADB-774A5B899B2B}">
  <dimension ref="A1:XFC104"/>
  <sheetViews>
    <sheetView showGridLines="0" tabSelected="1" workbookViewId="0">
      <selection activeCell="C3" sqref="C3"/>
    </sheetView>
  </sheetViews>
  <sheetFormatPr baseColWidth="10" defaultColWidth="0" defaultRowHeight="12.75" x14ac:dyDescent="0.2"/>
  <cols>
    <col min="1" max="1" width="15.140625" style="2" customWidth="1"/>
    <col min="2" max="2" width="10.42578125" style="2" customWidth="1"/>
    <col min="3" max="3" width="13.7109375" style="2" customWidth="1"/>
    <col min="4" max="4" width="14" style="2" customWidth="1"/>
    <col min="5" max="5" width="8.7109375" style="2" customWidth="1"/>
    <col min="6" max="6" width="6.5703125" style="2" customWidth="1"/>
    <col min="7" max="7" width="25" style="2" customWidth="1"/>
    <col min="8" max="16383" width="9.140625" style="2" hidden="1"/>
    <col min="16384" max="16384" width="1.140625" style="2" hidden="1"/>
  </cols>
  <sheetData>
    <row r="1" spans="1:9" ht="18" x14ac:dyDescent="0.25">
      <c r="A1" s="136" t="s">
        <v>72</v>
      </c>
      <c r="B1" s="136"/>
      <c r="C1" s="136"/>
      <c r="D1" s="136"/>
      <c r="E1" s="136"/>
      <c r="F1" s="136"/>
      <c r="G1" s="136"/>
      <c r="H1" s="1"/>
      <c r="I1" s="1"/>
    </row>
    <row r="2" spans="1:9" ht="13.5" thickBot="1" x14ac:dyDescent="0.25">
      <c r="A2" s="142" t="s">
        <v>1</v>
      </c>
      <c r="B2" s="142"/>
      <c r="C2" s="142"/>
      <c r="D2" s="142"/>
      <c r="E2" s="142"/>
      <c r="F2" s="142"/>
      <c r="G2" s="142"/>
      <c r="H2" s="3"/>
    </row>
    <row r="3" spans="1:9" x14ac:dyDescent="0.2">
      <c r="A3" s="4" t="s">
        <v>2</v>
      </c>
      <c r="B3" s="5"/>
      <c r="C3" s="14">
        <v>126.12</v>
      </c>
    </row>
    <row r="4" spans="1:9" x14ac:dyDescent="0.2">
      <c r="A4" s="6" t="s">
        <v>73</v>
      </c>
      <c r="B4" s="7"/>
      <c r="C4" s="91">
        <v>125</v>
      </c>
      <c r="E4" s="9" t="s">
        <v>4</v>
      </c>
    </row>
    <row r="5" spans="1:9" x14ac:dyDescent="0.2">
      <c r="A5" s="6" t="s">
        <v>5</v>
      </c>
      <c r="B5" s="7"/>
      <c r="C5" s="8">
        <v>33.5</v>
      </c>
    </row>
    <row r="6" spans="1:9" x14ac:dyDescent="0.2">
      <c r="A6" s="6" t="s">
        <v>26</v>
      </c>
      <c r="B6" s="7"/>
      <c r="C6" s="8">
        <v>69</v>
      </c>
    </row>
    <row r="7" spans="1:9" ht="14.25" x14ac:dyDescent="0.2">
      <c r="A7" s="6" t="s">
        <v>6</v>
      </c>
      <c r="B7" s="7"/>
      <c r="C7" s="10">
        <f>(27/64)*((C9^2)*(C3)^3)/C5</f>
        <v>169.87073821878201</v>
      </c>
    </row>
    <row r="8" spans="1:9" x14ac:dyDescent="0.2">
      <c r="A8" s="6" t="s">
        <v>7</v>
      </c>
      <c r="B8" s="7"/>
      <c r="C8" s="10">
        <f>C11-((C9*C3)/(4*C5))</f>
        <v>1.2822089552238791E-2</v>
      </c>
    </row>
    <row r="9" spans="1:9" x14ac:dyDescent="0.2">
      <c r="A9" s="11" t="s">
        <v>8</v>
      </c>
      <c r="B9" s="12"/>
      <c r="C9" s="13">
        <v>8.2000000000000003E-2</v>
      </c>
    </row>
    <row r="10" spans="1:9" x14ac:dyDescent="0.2">
      <c r="A10" s="11" t="s">
        <v>10</v>
      </c>
      <c r="B10" s="12"/>
      <c r="C10" s="16">
        <f>((3*C9*C3)/(8*C5))-C11</f>
        <v>2.5766865671641798E-2</v>
      </c>
    </row>
    <row r="11" spans="1:9" ht="13.5" thickBot="1" x14ac:dyDescent="0.25">
      <c r="A11" s="92" t="s">
        <v>11</v>
      </c>
      <c r="B11" s="93"/>
      <c r="C11" s="20">
        <v>0.09</v>
      </c>
    </row>
    <row r="12" spans="1:9" ht="13.5" thickBot="1" x14ac:dyDescent="0.25"/>
    <row r="13" spans="1:9" ht="14.25" x14ac:dyDescent="0.2">
      <c r="A13" s="43" t="s">
        <v>74</v>
      </c>
      <c r="B13" s="44" t="s">
        <v>75</v>
      </c>
      <c r="C13" s="45" t="s">
        <v>76</v>
      </c>
      <c r="D13" s="46" t="s">
        <v>29</v>
      </c>
    </row>
    <row r="14" spans="1:9" ht="13.5" thickBot="1" x14ac:dyDescent="0.25">
      <c r="A14" s="47">
        <f>1</f>
        <v>1</v>
      </c>
      <c r="B14" s="48">
        <f>((2*C10)-C8-((C9*C4)/C6))</f>
        <v>-0.10983908284663635</v>
      </c>
      <c r="C14" s="48">
        <f>((C10^2)-(2*C8*C10)-((2*C10*C9*C4)/(C6))+(C7/(C6*C4)))</f>
        <v>1.2042946168319014E-2</v>
      </c>
      <c r="D14" s="49">
        <f>-(C10^2*(C8+(C9*C4)/(C6)))-(C7*C8/(C6*C4))</f>
        <v>-3.5967355336598132E-4</v>
      </c>
    </row>
    <row r="15" spans="1:9" ht="15" customHeight="1" x14ac:dyDescent="0.2"/>
    <row r="16" spans="1:9" hidden="1" x14ac:dyDescent="0.2"/>
    <row r="17" spans="1:18" hidden="1" x14ac:dyDescent="0.2"/>
    <row r="18" spans="1:18" hidden="1" x14ac:dyDescent="0.2"/>
    <row r="19" spans="1:18" hidden="1" x14ac:dyDescent="0.2"/>
    <row r="20" spans="1:18" hidden="1" x14ac:dyDescent="0.2"/>
    <row r="21" spans="1:18" hidden="1" x14ac:dyDescent="0.2">
      <c r="A21" s="94" t="s">
        <v>77</v>
      </c>
      <c r="B21" s="95"/>
      <c r="C21" s="95"/>
      <c r="D21" s="95"/>
      <c r="E21" s="96"/>
      <c r="F21" s="96"/>
      <c r="G21" s="96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</row>
    <row r="22" spans="1:18" hidden="1" x14ac:dyDescent="0.2">
      <c r="A22" s="98" t="s">
        <v>14</v>
      </c>
      <c r="B22" s="96">
        <f>C89</f>
        <v>1</v>
      </c>
      <c r="C22" s="96"/>
      <c r="D22" s="96"/>
      <c r="E22" s="96"/>
      <c r="F22" s="96"/>
      <c r="G22" s="96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18" hidden="1" x14ac:dyDescent="0.2">
      <c r="A23" s="98" t="s">
        <v>15</v>
      </c>
      <c r="B23" s="96">
        <f>C90</f>
        <v>-0.10983908284663635</v>
      </c>
      <c r="C23" s="96"/>
      <c r="D23" s="96"/>
      <c r="E23" s="96"/>
      <c r="F23" s="96"/>
      <c r="G23" s="96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</row>
    <row r="24" spans="1:18" hidden="1" x14ac:dyDescent="0.2">
      <c r="A24" s="98" t="s">
        <v>16</v>
      </c>
      <c r="B24" s="96">
        <f>C91</f>
        <v>1.2042946168319014E-2</v>
      </c>
      <c r="C24" s="96"/>
      <c r="D24" s="96"/>
      <c r="E24" s="96"/>
      <c r="F24" s="96"/>
      <c r="G24" s="96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</row>
    <row r="25" spans="1:18" hidden="1" x14ac:dyDescent="0.2">
      <c r="A25" s="98" t="s">
        <v>78</v>
      </c>
      <c r="B25" s="96">
        <f>C92</f>
        <v>-3.5967355336598132E-4</v>
      </c>
      <c r="C25" s="96"/>
      <c r="D25" s="96"/>
      <c r="E25" s="96"/>
      <c r="F25" s="96"/>
      <c r="G25" s="96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idden="1" x14ac:dyDescent="0.2">
      <c r="A26" s="99" t="s">
        <v>79</v>
      </c>
      <c r="B26" s="96"/>
      <c r="C26" s="96"/>
      <c r="D26" s="96"/>
      <c r="E26" s="96"/>
      <c r="F26" s="96"/>
      <c r="G26" s="96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idden="1" x14ac:dyDescent="0.2">
      <c r="A27" s="96" t="s">
        <v>80</v>
      </c>
      <c r="B27" s="96"/>
      <c r="C27" s="96"/>
      <c r="D27" s="96"/>
      <c r="E27" s="96"/>
      <c r="F27" s="96"/>
      <c r="G27" s="96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idden="1" x14ac:dyDescent="0.2">
      <c r="A28" s="98" t="s">
        <v>81</v>
      </c>
      <c r="B28" s="96">
        <f>+(B24/B22)-((B23^2)/(3*B22^2))</f>
        <v>8.0214047947889319E-3</v>
      </c>
      <c r="C28" s="96"/>
      <c r="D28" s="96"/>
      <c r="E28" s="100" t="s">
        <v>82</v>
      </c>
      <c r="F28" s="100" t="s">
        <v>83</v>
      </c>
      <c r="G28" s="96"/>
      <c r="H28" s="101"/>
      <c r="I28" s="102" t="s">
        <v>82</v>
      </c>
      <c r="J28" s="102" t="s">
        <v>83</v>
      </c>
      <c r="K28" s="97"/>
      <c r="L28" s="103" t="s">
        <v>84</v>
      </c>
      <c r="M28" s="97"/>
      <c r="N28" s="97"/>
      <c r="O28" s="97"/>
      <c r="P28" s="97"/>
      <c r="Q28" s="97"/>
      <c r="R28" s="97"/>
    </row>
    <row r="29" spans="1:18" hidden="1" x14ac:dyDescent="0.2">
      <c r="A29" s="98" t="s">
        <v>85</v>
      </c>
      <c r="B29" s="96">
        <f>((2*B23^3)/(27*B22^3))-((B23*B24)/(3*B22^2))+(B25/B22)</f>
        <v>-1.6905369643533666E-5</v>
      </c>
      <c r="C29" s="96"/>
      <c r="D29" s="98" t="s">
        <v>86</v>
      </c>
      <c r="E29" s="96">
        <f>B38</f>
        <v>2.1063672239141906E-3</v>
      </c>
      <c r="F29" s="96"/>
      <c r="G29" s="100" t="s">
        <v>87</v>
      </c>
      <c r="H29" s="104" t="s">
        <v>17</v>
      </c>
      <c r="I29" s="97">
        <f>E29-((B23)/(3*B22))</f>
        <v>3.8719394839459638E-2</v>
      </c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5.75" hidden="1" x14ac:dyDescent="0.3">
      <c r="A30" s="98" t="s">
        <v>88</v>
      </c>
      <c r="B30" s="96">
        <f>B28/3</f>
        <v>2.6738015982629773E-3</v>
      </c>
      <c r="C30" s="96"/>
      <c r="D30" s="98" t="s">
        <v>89</v>
      </c>
      <c r="E30" s="96">
        <f>-B39</f>
        <v>-1.0531836119570953E-3</v>
      </c>
      <c r="F30" s="96">
        <f>SQRT(3)*B40</f>
        <v>8.9580870625097286E-2</v>
      </c>
      <c r="G30" s="100" t="s">
        <v>87</v>
      </c>
      <c r="H30" s="104" t="s">
        <v>18</v>
      </c>
      <c r="I30" s="105">
        <f>E30-((B23)/(3*B22))</f>
        <v>3.5559844003588352E-2</v>
      </c>
      <c r="J30" s="97">
        <f>F30</f>
        <v>8.9580870625097286E-2</v>
      </c>
      <c r="K30" s="97"/>
      <c r="L30" s="97" t="s">
        <v>90</v>
      </c>
      <c r="M30" s="97">
        <f>I30^2-J30^2</f>
        <v>-6.7602298763908787E-3</v>
      </c>
      <c r="N30" s="97">
        <f>2*I30*J30</f>
        <v>6.3709635702681794E-3</v>
      </c>
      <c r="O30" s="97"/>
      <c r="P30" s="97" t="s">
        <v>91</v>
      </c>
      <c r="Q30" s="97">
        <f>I30^3-3*I30*J30^2</f>
        <v>-8.1110918317825855E-4</v>
      </c>
      <c r="R30" s="97">
        <f>3*I30^2*J30-J30^3</f>
        <v>-3.7903680724160789E-4</v>
      </c>
    </row>
    <row r="31" spans="1:18" ht="15.75" hidden="1" x14ac:dyDescent="0.3">
      <c r="A31" s="98" t="s">
        <v>92</v>
      </c>
      <c r="B31" s="96">
        <f>B29/2</f>
        <v>-8.4526848217668328E-6</v>
      </c>
      <c r="C31" s="96"/>
      <c r="D31" s="98" t="s">
        <v>93</v>
      </c>
      <c r="E31" s="96">
        <f>-B39</f>
        <v>-1.0531836119570953E-3</v>
      </c>
      <c r="F31" s="96">
        <f>-SQRT(3)*B40</f>
        <v>-8.9580870625097286E-2</v>
      </c>
      <c r="G31" s="100" t="s">
        <v>87</v>
      </c>
      <c r="H31" s="104" t="s">
        <v>94</v>
      </c>
      <c r="I31" s="105">
        <f>E31-((B23)/(3*B22))</f>
        <v>3.5559844003588352E-2</v>
      </c>
      <c r="J31" s="97">
        <f>F31</f>
        <v>-8.9580870625097286E-2</v>
      </c>
      <c r="K31" s="97"/>
      <c r="L31" s="97" t="s">
        <v>95</v>
      </c>
      <c r="M31" s="97">
        <f>I31^2-J31^2</f>
        <v>-6.7602298763908787E-3</v>
      </c>
      <c r="N31" s="97">
        <f>2*I31*J31</f>
        <v>-6.3709635702681794E-3</v>
      </c>
      <c r="O31" s="97"/>
      <c r="P31" s="97" t="s">
        <v>96</v>
      </c>
      <c r="Q31" s="97">
        <f>I31^3-3*I31*J31^2</f>
        <v>-8.1110918317825855E-4</v>
      </c>
      <c r="R31" s="97">
        <f>3*I31^2*J31-J31^3</f>
        <v>3.7903680724160789E-4</v>
      </c>
    </row>
    <row r="32" spans="1:18" ht="14.25" hidden="1" x14ac:dyDescent="0.2">
      <c r="A32" s="98" t="s">
        <v>97</v>
      </c>
      <c r="B32" s="96">
        <f>B30^3</f>
        <v>1.91155824582284E-8</v>
      </c>
      <c r="C32" s="96"/>
      <c r="D32" s="96"/>
      <c r="E32" s="96"/>
      <c r="F32" s="96"/>
      <c r="G32" s="96"/>
      <c r="H32" s="97"/>
      <c r="I32" s="97"/>
      <c r="J32" s="97"/>
      <c r="K32" s="97"/>
      <c r="L32" s="103" t="s">
        <v>98</v>
      </c>
      <c r="M32" s="97"/>
      <c r="N32" s="97"/>
      <c r="O32" s="97"/>
      <c r="P32" s="97"/>
      <c r="Q32" s="97"/>
      <c r="R32" s="97"/>
    </row>
    <row r="33" spans="1:18" ht="15" hidden="1" x14ac:dyDescent="0.25">
      <c r="A33" s="98" t="s">
        <v>99</v>
      </c>
      <c r="B33" s="96">
        <f>B31^2</f>
        <v>7.144788069612739E-11</v>
      </c>
      <c r="C33" s="96"/>
      <c r="D33" s="99" t="s">
        <v>100</v>
      </c>
      <c r="E33" s="106"/>
      <c r="F33" s="106"/>
      <c r="G33" s="106"/>
      <c r="H33" s="107"/>
      <c r="I33" s="107"/>
      <c r="J33" s="107"/>
      <c r="K33" s="97"/>
      <c r="L33" s="108" t="s">
        <v>101</v>
      </c>
      <c r="M33" s="103">
        <f>B22*I29^3+B23*I29^2+B24*I29+B25</f>
        <v>0</v>
      </c>
      <c r="N33" s="97"/>
      <c r="O33" s="97"/>
      <c r="P33" s="97"/>
      <c r="Q33" s="97"/>
      <c r="R33" s="97"/>
    </row>
    <row r="34" spans="1:18" ht="15.75" hidden="1" x14ac:dyDescent="0.3">
      <c r="A34" s="98" t="s">
        <v>78</v>
      </c>
      <c r="B34" s="96">
        <f>B32+B33</f>
        <v>1.9187030338924529E-8</v>
      </c>
      <c r="C34" s="96"/>
      <c r="D34" s="96" t="s">
        <v>102</v>
      </c>
      <c r="E34" s="100" t="s">
        <v>82</v>
      </c>
      <c r="F34" s="100" t="s">
        <v>83</v>
      </c>
      <c r="G34" s="96"/>
      <c r="H34" s="97" t="s">
        <v>103</v>
      </c>
      <c r="I34" s="102" t="s">
        <v>82</v>
      </c>
      <c r="J34" s="102" t="s">
        <v>83</v>
      </c>
      <c r="K34" s="97"/>
      <c r="L34" s="97" t="s">
        <v>104</v>
      </c>
      <c r="M34" s="97">
        <f>B22*Q30</f>
        <v>-8.1110918317825855E-4</v>
      </c>
      <c r="N34" s="97">
        <f>B22*R30</f>
        <v>-3.7903680724160789E-4</v>
      </c>
      <c r="O34" s="97"/>
      <c r="P34" s="97" t="s">
        <v>105</v>
      </c>
      <c r="Q34" s="97">
        <f>B22*Q31</f>
        <v>-8.1110918317825855E-4</v>
      </c>
      <c r="R34" s="97">
        <f>B22*R31</f>
        <v>3.7903680724160789E-4</v>
      </c>
    </row>
    <row r="35" spans="1:18" ht="15.75" hidden="1" x14ac:dyDescent="0.3">
      <c r="A35" s="98" t="s">
        <v>19</v>
      </c>
      <c r="B35" s="96">
        <f>SQRT(B34)</f>
        <v>1.3851725646620543E-4</v>
      </c>
      <c r="C35" s="96"/>
      <c r="D35" s="98" t="s">
        <v>106</v>
      </c>
      <c r="E35" s="100" t="str">
        <f>IF(I29&gt;0,"+","-")</f>
        <v>+</v>
      </c>
      <c r="F35" s="100"/>
      <c r="G35" s="96"/>
      <c r="H35" s="104" t="s">
        <v>106</v>
      </c>
      <c r="I35" s="97" t="str">
        <f>FIXED(ABS(I29),C93,TRUE)</f>
        <v>0.0387</v>
      </c>
      <c r="J35" s="97"/>
      <c r="K35" s="97"/>
      <c r="L35" s="97" t="s">
        <v>107</v>
      </c>
      <c r="M35" s="97">
        <f>B23*M30</f>
        <v>7.4253744945520389E-4</v>
      </c>
      <c r="N35" s="97">
        <f>B23*N30</f>
        <v>-6.9978079540758864E-4</v>
      </c>
      <c r="O35" s="97"/>
      <c r="P35" s="97" t="s">
        <v>108</v>
      </c>
      <c r="Q35" s="97">
        <f>B23*M31</f>
        <v>7.4253744945520389E-4</v>
      </c>
      <c r="R35" s="97">
        <f>B23*N31</f>
        <v>6.9978079540758864E-4</v>
      </c>
    </row>
    <row r="36" spans="1:18" ht="15.75" hidden="1" x14ac:dyDescent="0.3">
      <c r="A36" s="98" t="s">
        <v>109</v>
      </c>
      <c r="B36" s="96">
        <f>(-B31+B35)^(1/3)</f>
        <v>5.2772723381598059E-2</v>
      </c>
      <c r="C36" s="96"/>
      <c r="D36" s="98" t="s">
        <v>110</v>
      </c>
      <c r="E36" s="100" t="str">
        <f>IF(I30&gt;0,"+","-")</f>
        <v>+</v>
      </c>
      <c r="F36" s="100" t="str">
        <f>IF(J30&gt;0,"+","-")</f>
        <v>+</v>
      </c>
      <c r="G36" s="96"/>
      <c r="H36" s="104" t="s">
        <v>110</v>
      </c>
      <c r="I36" s="97" t="str">
        <f>FIXED(ABS(I30),C93,TRUE)</f>
        <v>0.0356</v>
      </c>
      <c r="J36" s="97" t="str">
        <f>FIXED(ABS(J30),C93,TRUE)</f>
        <v>0.0896</v>
      </c>
      <c r="K36" s="97"/>
      <c r="L36" s="97" t="s">
        <v>111</v>
      </c>
      <c r="M36" s="97">
        <f>B24*I30</f>
        <v>4.282452870890362E-4</v>
      </c>
      <c r="N36" s="97">
        <f>B24*J30</f>
        <v>1.0788176026491967E-3</v>
      </c>
      <c r="O36" s="97"/>
      <c r="P36" s="97" t="s">
        <v>112</v>
      </c>
      <c r="Q36" s="97">
        <f>B24*I31</f>
        <v>4.282452870890362E-4</v>
      </c>
      <c r="R36" s="97">
        <f>B24*J31</f>
        <v>-1.0788176026491967E-3</v>
      </c>
    </row>
    <row r="37" spans="1:18" hidden="1" x14ac:dyDescent="0.2">
      <c r="A37" s="98" t="s">
        <v>113</v>
      </c>
      <c r="B37" s="96">
        <f>(-B31-B35)^(1/3)</f>
        <v>-5.0666356157683869E-2</v>
      </c>
      <c r="C37" s="96"/>
      <c r="D37" s="98" t="s">
        <v>114</v>
      </c>
      <c r="E37" s="100" t="str">
        <f>IF(I31&gt;0,"+","-")</f>
        <v>+</v>
      </c>
      <c r="F37" s="100" t="str">
        <f>IF(J31&gt;0,"+","-")</f>
        <v>-</v>
      </c>
      <c r="G37" s="96"/>
      <c r="H37" s="104" t="s">
        <v>114</v>
      </c>
      <c r="I37" s="97" t="str">
        <f>FIXED(ABS(I31),C93,TRUE)</f>
        <v>0.0356</v>
      </c>
      <c r="J37" s="97" t="str">
        <f>FIXED(ABS(J31),C93,TRUE)</f>
        <v>0.0896</v>
      </c>
      <c r="K37" s="97"/>
      <c r="L37" s="97" t="s">
        <v>115</v>
      </c>
      <c r="M37" s="97">
        <f>B25</f>
        <v>-3.5967355336598132E-4</v>
      </c>
      <c r="N37" s="97"/>
      <c r="O37" s="97"/>
      <c r="P37" s="97" t="s">
        <v>115</v>
      </c>
      <c r="Q37" s="97">
        <f>B25</f>
        <v>-3.5967355336598132E-4</v>
      </c>
      <c r="R37" s="97"/>
    </row>
    <row r="38" spans="1:18" ht="14.25" hidden="1" x14ac:dyDescent="0.25">
      <c r="A38" s="98" t="s">
        <v>116</v>
      </c>
      <c r="B38" s="96">
        <f>B36+B37</f>
        <v>2.1063672239141906E-3</v>
      </c>
      <c r="C38" s="96"/>
      <c r="D38" s="96"/>
      <c r="E38" s="96"/>
      <c r="F38" s="96"/>
      <c r="G38" s="96"/>
      <c r="H38" s="97"/>
      <c r="I38" s="97"/>
      <c r="J38" s="97"/>
      <c r="K38" s="97"/>
      <c r="L38" s="108" t="s">
        <v>117</v>
      </c>
      <c r="M38" s="103">
        <f>SUM(M34:M37)</f>
        <v>0</v>
      </c>
      <c r="N38" s="103">
        <f>SUM(N34:N37)</f>
        <v>0</v>
      </c>
      <c r="O38" s="97"/>
      <c r="P38" s="108" t="s">
        <v>118</v>
      </c>
      <c r="Q38" s="103">
        <f>SUM(Q34:Q37)</f>
        <v>0</v>
      </c>
      <c r="R38" s="103">
        <f>SUM(R34:R37)</f>
        <v>0</v>
      </c>
    </row>
    <row r="39" spans="1:18" hidden="1" x14ac:dyDescent="0.2">
      <c r="A39" s="98" t="s">
        <v>119</v>
      </c>
      <c r="B39" s="96">
        <f>0.5*B38</f>
        <v>1.0531836119570953E-3</v>
      </c>
      <c r="C39" s="96"/>
      <c r="D39" s="96"/>
      <c r="E39" s="96"/>
      <c r="F39" s="94" t="s">
        <v>120</v>
      </c>
      <c r="G39" s="96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idden="1" x14ac:dyDescent="0.2">
      <c r="A40" s="98" t="s">
        <v>121</v>
      </c>
      <c r="B40" s="96">
        <f>0.5*(B36-B37)</f>
        <v>5.1719539769640964E-2</v>
      </c>
      <c r="C40" s="96"/>
      <c r="D40" s="96"/>
      <c r="E40" s="96"/>
      <c r="F40" s="96" t="s">
        <v>17</v>
      </c>
      <c r="G40" s="96" t="str">
        <f>E35&amp;I35</f>
        <v>+0.0387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idden="1" x14ac:dyDescent="0.2">
      <c r="A41" s="96"/>
      <c r="B41" s="96"/>
      <c r="C41" s="96"/>
      <c r="D41" s="96"/>
      <c r="E41" s="96"/>
      <c r="F41" s="96" t="s">
        <v>18</v>
      </c>
      <c r="G41" s="96" t="str">
        <f>E36&amp;I36&amp;F36&amp;J36&amp;"j"</f>
        <v>+0.0356+0.0896j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idden="1" x14ac:dyDescent="0.2">
      <c r="A42" s="109"/>
      <c r="B42" s="109"/>
      <c r="C42" s="109"/>
      <c r="D42" s="109"/>
      <c r="E42" s="109"/>
      <c r="F42" s="109" t="s">
        <v>94</v>
      </c>
      <c r="G42" s="109" t="str">
        <f>E37&amp;I37&amp;F37&amp;J37&amp;"j"</f>
        <v>+0.0356-0.0896j</v>
      </c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</row>
    <row r="43" spans="1:18" ht="13.5" hidden="1" thickBot="1" x14ac:dyDescent="0.25">
      <c r="A43" s="111"/>
      <c r="B43" s="111"/>
      <c r="C43" s="111"/>
      <c r="D43" s="111"/>
      <c r="E43" s="111"/>
      <c r="F43" s="111"/>
      <c r="G43" s="111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1:18" hidden="1" x14ac:dyDescent="0.2">
      <c r="A44" s="113" t="s">
        <v>122</v>
      </c>
      <c r="B44" s="114"/>
      <c r="C44" s="114"/>
      <c r="D44" s="114"/>
      <c r="E44" s="114"/>
      <c r="F44" s="114"/>
      <c r="G44" s="114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</row>
    <row r="45" spans="1:18" ht="15.75" hidden="1" x14ac:dyDescent="0.3">
      <c r="A45" s="96" t="s">
        <v>80</v>
      </c>
      <c r="B45" s="96"/>
      <c r="C45" s="96"/>
      <c r="D45" s="98" t="s">
        <v>123</v>
      </c>
      <c r="E45" s="96">
        <f>2*SQRT(B47)*COS(B52)</f>
        <v>9.0598026159442305E-2</v>
      </c>
      <c r="F45" s="98" t="s">
        <v>20</v>
      </c>
      <c r="G45" s="96">
        <f>E45-(B23)/(3*B22)</f>
        <v>0.12721105377498776</v>
      </c>
      <c r="H45" s="97"/>
      <c r="I45" s="97"/>
      <c r="J45" s="97"/>
      <c r="K45" s="97"/>
      <c r="L45" s="103" t="s">
        <v>124</v>
      </c>
      <c r="M45" s="97"/>
      <c r="N45" s="97"/>
      <c r="O45" s="97"/>
      <c r="P45" s="97"/>
      <c r="Q45" s="97"/>
      <c r="R45" s="97"/>
    </row>
    <row r="46" spans="1:18" ht="15.75" hidden="1" x14ac:dyDescent="0.3">
      <c r="A46" s="96" t="s">
        <v>92</v>
      </c>
      <c r="B46" s="96">
        <f>B31</f>
        <v>-8.4526848217668328E-6</v>
      </c>
      <c r="C46" s="96"/>
      <c r="D46" s="98" t="s">
        <v>125</v>
      </c>
      <c r="E46" s="96">
        <f>-2*SQRT(B47)*COS(B53)</f>
        <v>-8.848932491928406E-2</v>
      </c>
      <c r="F46" s="98" t="s">
        <v>21</v>
      </c>
      <c r="G46" s="116">
        <f>E46-(B23)/(3*B22)</f>
        <v>-5.1876297303738612E-2</v>
      </c>
      <c r="H46" s="97"/>
      <c r="I46" s="97"/>
      <c r="J46" s="97"/>
      <c r="K46" s="97"/>
      <c r="L46" s="97" t="s">
        <v>126</v>
      </c>
      <c r="M46" s="117">
        <f>B22*G45^3+B23*G45^2+B24*G45+B25</f>
        <v>1.4534468828675277E-3</v>
      </c>
      <c r="N46" s="97"/>
      <c r="O46" s="97"/>
      <c r="P46" s="97"/>
      <c r="Q46" s="97"/>
      <c r="R46" s="97"/>
    </row>
    <row r="47" spans="1:18" ht="15.75" hidden="1" x14ac:dyDescent="0.3">
      <c r="A47" s="118" t="s">
        <v>127</v>
      </c>
      <c r="B47" s="96">
        <f>ABS(B28)/3</f>
        <v>2.6738015982629773E-3</v>
      </c>
      <c r="C47" s="96"/>
      <c r="D47" s="98" t="s">
        <v>128</v>
      </c>
      <c r="E47" s="96">
        <f>-2*SQRT(B47)*COS(B54)</f>
        <v>-2.1087012401582424E-3</v>
      </c>
      <c r="F47" s="98" t="s">
        <v>129</v>
      </c>
      <c r="G47" s="96">
        <f>E47-(B23)/(3*B22)</f>
        <v>3.4504326375387202E-2</v>
      </c>
      <c r="H47" s="97"/>
      <c r="I47" s="97"/>
      <c r="J47" s="97"/>
      <c r="K47" s="97"/>
      <c r="L47" s="97" t="s">
        <v>130</v>
      </c>
      <c r="M47" s="117">
        <f>B22*G46^3+B23*G46^2+B24*G46+B25</f>
        <v>-1.4196173903903619E-3</v>
      </c>
      <c r="N47" s="97"/>
      <c r="O47" s="97"/>
      <c r="P47" s="97"/>
      <c r="Q47" s="97"/>
      <c r="R47" s="97"/>
    </row>
    <row r="48" spans="1:18" ht="15.75" hidden="1" x14ac:dyDescent="0.3">
      <c r="A48" s="118" t="s">
        <v>131</v>
      </c>
      <c r="B48" s="96">
        <f>B47^3</f>
        <v>1.91155824582284E-8</v>
      </c>
      <c r="C48" s="96"/>
      <c r="D48" s="96"/>
      <c r="E48" s="96"/>
      <c r="F48" s="96"/>
      <c r="G48" s="96"/>
      <c r="H48" s="97"/>
      <c r="I48" s="97"/>
      <c r="J48" s="97"/>
      <c r="K48" s="97"/>
      <c r="L48" s="97" t="s">
        <v>132</v>
      </c>
      <c r="M48" s="117">
        <f>B22*G47^3+B23*G47^2+B24*G47+B25</f>
        <v>-3.3829492477165416E-5</v>
      </c>
      <c r="N48" s="97"/>
      <c r="O48" s="97"/>
      <c r="P48" s="97"/>
      <c r="Q48" s="97"/>
      <c r="R48" s="97"/>
    </row>
    <row r="49" spans="1:18" ht="14.25" hidden="1" x14ac:dyDescent="0.2">
      <c r="A49" s="96" t="s">
        <v>133</v>
      </c>
      <c r="B49" s="96">
        <f>SQRT(B48)</f>
        <v>1.382591134725968E-4</v>
      </c>
      <c r="C49" s="96"/>
      <c r="D49" s="99" t="s">
        <v>134</v>
      </c>
      <c r="E49" s="99"/>
      <c r="F49" s="99"/>
      <c r="G49" s="99"/>
      <c r="H49" s="119"/>
      <c r="I49" s="119"/>
      <c r="J49" s="119"/>
      <c r="K49" s="97"/>
      <c r="L49" s="97"/>
      <c r="M49" s="97"/>
      <c r="N49" s="97"/>
      <c r="O49" s="97"/>
      <c r="P49" s="97"/>
      <c r="Q49" s="97"/>
      <c r="R49" s="97"/>
    </row>
    <row r="50" spans="1:18" hidden="1" x14ac:dyDescent="0.2">
      <c r="A50" s="120" t="s">
        <v>135</v>
      </c>
      <c r="B50" s="121">
        <f>ACOS(-B46/B49)</f>
        <v>1.5096216305762067</v>
      </c>
      <c r="C50" s="96"/>
      <c r="D50" s="96" t="s">
        <v>136</v>
      </c>
      <c r="E50" s="96"/>
      <c r="F50" s="96"/>
      <c r="G50" s="96" t="s">
        <v>103</v>
      </c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5.75" hidden="1" x14ac:dyDescent="0.3">
      <c r="A51" s="96" t="s">
        <v>137</v>
      </c>
      <c r="B51" s="96">
        <f>RADIANS(60)</f>
        <v>1.0471975511965976</v>
      </c>
      <c r="C51" s="96"/>
      <c r="D51" s="98" t="s">
        <v>138</v>
      </c>
      <c r="E51" s="96" t="str">
        <f>IF(G45&gt;0,"+","-")</f>
        <v>+</v>
      </c>
      <c r="F51" s="96"/>
      <c r="G51" s="98" t="s">
        <v>139</v>
      </c>
      <c r="H51" s="97" t="str">
        <f>FIXED(ABS(G45),$C$93,TRUE)</f>
        <v>0.1272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5.75" hidden="1" x14ac:dyDescent="0.3">
      <c r="A52" s="120" t="s">
        <v>140</v>
      </c>
      <c r="B52" s="96">
        <f>B50/3</f>
        <v>0.50320721019206893</v>
      </c>
      <c r="C52" s="96"/>
      <c r="D52" s="98" t="s">
        <v>141</v>
      </c>
      <c r="E52" s="96" t="str">
        <f>IF(G46&gt;0,"+","-")</f>
        <v>-</v>
      </c>
      <c r="F52" s="96"/>
      <c r="G52" s="98" t="s">
        <v>142</v>
      </c>
      <c r="H52" s="97" t="str">
        <f>FIXED(ABS(G46),$C$93,TRUE)</f>
        <v>0.0519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5.75" hidden="1" x14ac:dyDescent="0.3">
      <c r="A53" s="120" t="s">
        <v>143</v>
      </c>
      <c r="B53" s="118">
        <f>(B50/3)-B51</f>
        <v>-0.5439903410045287</v>
      </c>
      <c r="C53" s="96"/>
      <c r="D53" s="98" t="s">
        <v>144</v>
      </c>
      <c r="E53" s="96" t="str">
        <f>IF(G47&gt;0,"+","-")</f>
        <v>+</v>
      </c>
      <c r="F53" s="96"/>
      <c r="G53" s="98" t="s">
        <v>145</v>
      </c>
      <c r="H53" s="97" t="str">
        <f>FIXED(ABS(G47),$C$93,TRUE)</f>
        <v>0.0345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4.25" hidden="1" x14ac:dyDescent="0.2">
      <c r="A54" s="120" t="s">
        <v>146</v>
      </c>
      <c r="B54" s="118">
        <f>(B50/3)+B51</f>
        <v>1.5504047613886667</v>
      </c>
      <c r="C54" s="96"/>
      <c r="D54" s="96"/>
      <c r="E54" s="96"/>
      <c r="F54" s="96"/>
      <c r="G54" s="96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idden="1" x14ac:dyDescent="0.2">
      <c r="A55" s="96"/>
      <c r="B55" s="96"/>
      <c r="C55" s="96"/>
      <c r="D55" s="94" t="s">
        <v>147</v>
      </c>
      <c r="E55" s="96"/>
      <c r="F55" s="96"/>
      <c r="G55" s="96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5.75" hidden="1" x14ac:dyDescent="0.3">
      <c r="A56" s="96"/>
      <c r="B56" s="96"/>
      <c r="C56" s="96"/>
      <c r="D56" s="98" t="s">
        <v>20</v>
      </c>
      <c r="E56" s="98" t="str">
        <f>E51&amp;H51</f>
        <v>+0.1272</v>
      </c>
      <c r="F56" s="96"/>
      <c r="G56" s="96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5.75" hidden="1" x14ac:dyDescent="0.3">
      <c r="A57" s="96"/>
      <c r="B57" s="96"/>
      <c r="C57" s="96"/>
      <c r="D57" s="98" t="s">
        <v>21</v>
      </c>
      <c r="E57" s="98" t="str">
        <f>E52&amp;H52</f>
        <v>-0.0519</v>
      </c>
      <c r="F57" s="96"/>
      <c r="G57" s="96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5.75" hidden="1" x14ac:dyDescent="0.3">
      <c r="A58" s="96"/>
      <c r="B58" s="96"/>
      <c r="C58" s="96"/>
      <c r="D58" s="98" t="s">
        <v>129</v>
      </c>
      <c r="E58" s="98" t="str">
        <f>E53&amp;H53</f>
        <v>+0.0345</v>
      </c>
      <c r="F58" s="96"/>
      <c r="G58" s="96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idden="1" x14ac:dyDescent="0.2"/>
    <row r="60" spans="1:18" hidden="1" x14ac:dyDescent="0.2">
      <c r="A60" s="122"/>
      <c r="B60" s="122"/>
      <c r="C60" s="122"/>
      <c r="D60" s="122"/>
      <c r="E60" s="122"/>
      <c r="F60" s="122"/>
      <c r="G60" s="122"/>
    </row>
    <row r="61" spans="1:18" hidden="1" x14ac:dyDescent="0.2">
      <c r="A61" s="122"/>
      <c r="B61" s="122"/>
      <c r="C61" s="122"/>
      <c r="D61" s="122"/>
      <c r="E61" s="122"/>
      <c r="F61" s="122"/>
      <c r="G61" s="122"/>
    </row>
    <row r="62" spans="1:18" hidden="1" x14ac:dyDescent="0.2">
      <c r="A62" s="122"/>
      <c r="B62" s="122"/>
      <c r="C62" s="122"/>
      <c r="D62" s="122"/>
      <c r="E62" s="122"/>
      <c r="F62" s="122"/>
      <c r="G62" s="122"/>
    </row>
    <row r="63" spans="1:18" hidden="1" x14ac:dyDescent="0.2">
      <c r="A63" s="122"/>
      <c r="B63" s="122"/>
      <c r="C63" s="122"/>
      <c r="D63" s="122"/>
      <c r="E63" s="122"/>
      <c r="F63" s="122"/>
      <c r="G63" s="122"/>
    </row>
    <row r="64" spans="1:18" hidden="1" x14ac:dyDescent="0.2">
      <c r="A64" s="122"/>
      <c r="B64" s="122"/>
      <c r="C64" s="122"/>
      <c r="D64" s="122"/>
      <c r="E64" s="122"/>
      <c r="F64" s="122"/>
      <c r="G64" s="122"/>
    </row>
    <row r="65" spans="1:7" hidden="1" x14ac:dyDescent="0.2">
      <c r="A65" s="122"/>
      <c r="B65" s="122"/>
      <c r="C65" s="122"/>
      <c r="D65" s="122"/>
      <c r="E65" s="122"/>
      <c r="F65" s="122"/>
      <c r="G65" s="122"/>
    </row>
    <row r="66" spans="1:7" hidden="1" x14ac:dyDescent="0.2">
      <c r="A66" s="122"/>
      <c r="B66" s="122"/>
      <c r="C66" s="122"/>
      <c r="D66" s="122"/>
      <c r="E66" s="122"/>
      <c r="F66" s="122"/>
      <c r="G66" s="122"/>
    </row>
    <row r="67" spans="1:7" hidden="1" x14ac:dyDescent="0.2">
      <c r="A67" s="122"/>
      <c r="B67" s="122"/>
      <c r="C67" s="122"/>
      <c r="D67" s="122"/>
      <c r="E67" s="122"/>
      <c r="F67" s="122"/>
      <c r="G67" s="122"/>
    </row>
    <row r="68" spans="1:7" hidden="1" x14ac:dyDescent="0.2">
      <c r="A68" s="122"/>
      <c r="B68" s="122"/>
      <c r="C68" s="122"/>
      <c r="D68" s="122"/>
      <c r="E68" s="122"/>
      <c r="F68" s="122"/>
      <c r="G68" s="122"/>
    </row>
    <row r="69" spans="1:7" hidden="1" x14ac:dyDescent="0.2">
      <c r="A69" s="122"/>
      <c r="B69" s="122"/>
      <c r="C69" s="122"/>
      <c r="D69" s="122"/>
      <c r="E69" s="122"/>
      <c r="F69" s="122"/>
      <c r="G69" s="122"/>
    </row>
    <row r="70" spans="1:7" hidden="1" x14ac:dyDescent="0.2">
      <c r="A70" s="122"/>
      <c r="B70" s="122"/>
      <c r="C70" s="122"/>
      <c r="D70" s="122"/>
      <c r="E70" s="122"/>
      <c r="F70" s="122"/>
      <c r="G70" s="122"/>
    </row>
    <row r="71" spans="1:7" hidden="1" x14ac:dyDescent="0.2">
      <c r="A71" s="122"/>
      <c r="B71" s="122"/>
      <c r="C71" s="122"/>
      <c r="D71" s="122"/>
      <c r="E71" s="122"/>
      <c r="F71" s="122"/>
      <c r="G71" s="122"/>
    </row>
    <row r="72" spans="1:7" hidden="1" x14ac:dyDescent="0.2">
      <c r="A72" s="122"/>
      <c r="B72" s="122"/>
      <c r="C72" s="122"/>
      <c r="D72" s="122"/>
      <c r="E72" s="122"/>
      <c r="F72" s="122"/>
      <c r="G72" s="122"/>
    </row>
    <row r="73" spans="1:7" hidden="1" x14ac:dyDescent="0.2">
      <c r="A73" s="122"/>
      <c r="B73" s="122"/>
      <c r="C73" s="122"/>
      <c r="D73" s="122"/>
      <c r="E73" s="122"/>
      <c r="F73" s="122"/>
      <c r="G73" s="122"/>
    </row>
    <row r="74" spans="1:7" hidden="1" x14ac:dyDescent="0.2">
      <c r="A74" s="122"/>
      <c r="B74" s="122"/>
      <c r="C74" s="122"/>
      <c r="D74" s="122"/>
      <c r="E74" s="122"/>
      <c r="F74" s="122"/>
      <c r="G74" s="122"/>
    </row>
    <row r="75" spans="1:7" hidden="1" x14ac:dyDescent="0.2">
      <c r="A75" s="122"/>
      <c r="B75" s="122"/>
      <c r="C75" s="122"/>
      <c r="D75" s="122"/>
      <c r="E75" s="122"/>
      <c r="F75" s="122"/>
      <c r="G75" s="122"/>
    </row>
    <row r="76" spans="1:7" hidden="1" x14ac:dyDescent="0.2">
      <c r="A76" s="122"/>
      <c r="B76" s="122"/>
      <c r="C76" s="122"/>
      <c r="D76" s="122"/>
      <c r="E76" s="122"/>
      <c r="F76" s="122"/>
      <c r="G76" s="122"/>
    </row>
    <row r="77" spans="1:7" hidden="1" x14ac:dyDescent="0.2">
      <c r="A77" s="122"/>
      <c r="B77" s="122"/>
      <c r="C77" s="122"/>
      <c r="D77" s="122"/>
      <c r="E77" s="122"/>
      <c r="F77" s="122"/>
      <c r="G77" s="122"/>
    </row>
    <row r="78" spans="1:7" hidden="1" x14ac:dyDescent="0.2">
      <c r="A78" s="122"/>
      <c r="B78" s="122"/>
      <c r="C78" s="122"/>
      <c r="D78" s="122"/>
      <c r="E78" s="122"/>
      <c r="F78" s="122"/>
      <c r="G78" s="122"/>
    </row>
    <row r="79" spans="1:7" hidden="1" x14ac:dyDescent="0.2">
      <c r="A79" s="122"/>
      <c r="B79" s="122"/>
      <c r="C79" s="122"/>
      <c r="D79" s="122"/>
      <c r="E79" s="122"/>
      <c r="F79" s="122"/>
      <c r="G79" s="122"/>
    </row>
    <row r="80" spans="1:7" hidden="1" x14ac:dyDescent="0.2">
      <c r="A80" s="122"/>
      <c r="B80" s="122"/>
      <c r="C80" s="122"/>
      <c r="D80" s="122"/>
      <c r="E80" s="122"/>
      <c r="F80" s="122"/>
      <c r="G80" s="122"/>
    </row>
    <row r="81" spans="1:8" hidden="1" x14ac:dyDescent="0.2">
      <c r="A81" s="122"/>
      <c r="B81" s="122"/>
      <c r="C81" s="122"/>
      <c r="D81" s="122"/>
      <c r="E81" s="122"/>
      <c r="F81" s="122"/>
      <c r="G81" s="122"/>
    </row>
    <row r="82" spans="1:8" hidden="1" x14ac:dyDescent="0.2">
      <c r="A82" s="122"/>
      <c r="B82" s="122"/>
      <c r="C82" s="122"/>
      <c r="D82" s="122"/>
      <c r="E82" s="122"/>
      <c r="F82" s="122"/>
      <c r="G82" s="122"/>
    </row>
    <row r="83" spans="1:8" hidden="1" x14ac:dyDescent="0.2">
      <c r="A83" s="122"/>
      <c r="B83" s="122"/>
      <c r="C83" s="122"/>
      <c r="D83" s="122"/>
      <c r="E83" s="122"/>
      <c r="F83" s="122"/>
      <c r="G83" s="122"/>
    </row>
    <row r="84" spans="1:8" ht="15" customHeight="1" x14ac:dyDescent="0.2">
      <c r="A84" s="22" t="s">
        <v>148</v>
      </c>
      <c r="B84" s="16">
        <f>(C4*C9)/(C6)</f>
        <v>0.14855072463768115</v>
      </c>
      <c r="C84" s="24"/>
      <c r="D84" s="24"/>
      <c r="E84" s="24"/>
      <c r="F84" s="24"/>
      <c r="G84" s="24"/>
    </row>
    <row r="85" spans="1:8" x14ac:dyDescent="0.2">
      <c r="A85" s="22" t="s">
        <v>149</v>
      </c>
      <c r="B85" s="16">
        <f>C96</f>
        <v>3.8719394839459638E-2</v>
      </c>
      <c r="C85" s="24"/>
      <c r="D85" s="24"/>
      <c r="E85" s="24"/>
      <c r="F85" s="24"/>
      <c r="G85" s="24"/>
    </row>
    <row r="87" spans="1:8" ht="21" x14ac:dyDescent="0.25">
      <c r="A87" s="143" t="s">
        <v>150</v>
      </c>
      <c r="B87" s="143"/>
      <c r="C87" s="143"/>
      <c r="D87" s="143"/>
      <c r="E87" s="143"/>
      <c r="F87" s="143"/>
      <c r="G87" s="143"/>
      <c r="H87" s="3"/>
    </row>
    <row r="88" spans="1:8" ht="13.5" thickBot="1" x14ac:dyDescent="0.25">
      <c r="A88" s="52"/>
      <c r="B88" s="52"/>
      <c r="C88" s="52"/>
      <c r="D88" s="52"/>
      <c r="E88" s="24"/>
      <c r="F88" s="24"/>
      <c r="G88" s="24"/>
    </row>
    <row r="89" spans="1:8" x14ac:dyDescent="0.2">
      <c r="B89" s="60" t="s">
        <v>14</v>
      </c>
      <c r="C89" s="123">
        <f>A14</f>
        <v>1</v>
      </c>
    </row>
    <row r="90" spans="1:8" x14ac:dyDescent="0.2">
      <c r="B90" s="61" t="s">
        <v>15</v>
      </c>
      <c r="C90" s="124">
        <f>B14</f>
        <v>-0.10983908284663635</v>
      </c>
    </row>
    <row r="91" spans="1:8" x14ac:dyDescent="0.2">
      <c r="B91" s="61" t="s">
        <v>16</v>
      </c>
      <c r="C91" s="124">
        <f>C14</f>
        <v>1.2042946168319014E-2</v>
      </c>
    </row>
    <row r="92" spans="1:8" ht="13.5" thickBot="1" x14ac:dyDescent="0.25">
      <c r="B92" s="125" t="s">
        <v>78</v>
      </c>
      <c r="C92" s="126">
        <f>D14</f>
        <v>-3.5967355336598132E-4</v>
      </c>
    </row>
    <row r="93" spans="1:8" ht="15.75" customHeight="1" thickBot="1" x14ac:dyDescent="0.25">
      <c r="B93" s="127" t="s">
        <v>151</v>
      </c>
      <c r="C93" s="128">
        <v>4</v>
      </c>
      <c r="D93" s="129" t="s">
        <v>38</v>
      </c>
    </row>
    <row r="94" spans="1:8" ht="13.5" thickBot="1" x14ac:dyDescent="0.25"/>
    <row r="95" spans="1:8" x14ac:dyDescent="0.2">
      <c r="A95" s="62"/>
      <c r="C95" s="130" t="s">
        <v>39</v>
      </c>
      <c r="D95" s="131" t="s">
        <v>40</v>
      </c>
    </row>
    <row r="96" spans="1:8" ht="18.75" x14ac:dyDescent="0.35">
      <c r="A96" s="62"/>
      <c r="B96" s="132" t="s">
        <v>152</v>
      </c>
      <c r="C96" s="133">
        <f t="shared" ref="C96:D98" si="0">IF($B$34&lt;0,G45,I29)</f>
        <v>3.8719394839459638E-2</v>
      </c>
      <c r="D96" s="134">
        <f t="shared" si="0"/>
        <v>0</v>
      </c>
      <c r="E96" s="147" t="str">
        <f>IF(B34&lt;0,E56,G40)</f>
        <v>+0.0387</v>
      </c>
      <c r="F96" s="147"/>
    </row>
    <row r="97" spans="1:7" ht="18.75" x14ac:dyDescent="0.35">
      <c r="A97" s="62"/>
      <c r="B97" s="132" t="s">
        <v>153</v>
      </c>
      <c r="C97" s="133">
        <f t="shared" si="0"/>
        <v>3.5559844003588352E-2</v>
      </c>
      <c r="D97" s="134">
        <f t="shared" si="0"/>
        <v>8.9580870625097286E-2</v>
      </c>
      <c r="E97" s="148" t="str">
        <f>IF(B34&lt;0,E57,G41)</f>
        <v>+0.0356+0.0896j</v>
      </c>
      <c r="F97" s="148"/>
    </row>
    <row r="98" spans="1:7" ht="18.75" x14ac:dyDescent="0.35">
      <c r="A98" s="62"/>
      <c r="B98" s="132" t="s">
        <v>154</v>
      </c>
      <c r="C98" s="133">
        <f t="shared" si="0"/>
        <v>3.5559844003588352E-2</v>
      </c>
      <c r="D98" s="134">
        <f t="shared" si="0"/>
        <v>-8.9580870625097286E-2</v>
      </c>
      <c r="E98" s="148" t="str">
        <f>IF(B34&lt;0,E58,G42)</f>
        <v>+0.0356-0.0896j</v>
      </c>
      <c r="F98" s="148"/>
    </row>
    <row r="100" spans="1:7" x14ac:dyDescent="0.2">
      <c r="B100" s="27"/>
      <c r="C100" s="24"/>
      <c r="D100" s="24"/>
      <c r="E100" s="24"/>
      <c r="F100" s="24"/>
    </row>
    <row r="101" spans="1:7" ht="15" customHeight="1" x14ac:dyDescent="0.2">
      <c r="A101" s="138" t="s">
        <v>155</v>
      </c>
      <c r="B101" s="138"/>
      <c r="C101" s="138"/>
      <c r="D101" s="138"/>
      <c r="E101" s="138"/>
      <c r="F101" s="138"/>
      <c r="G101" s="138"/>
    </row>
    <row r="102" spans="1:7" ht="17.25" x14ac:dyDescent="0.3">
      <c r="B102" s="58"/>
      <c r="C102" s="24"/>
      <c r="D102" s="24"/>
      <c r="E102" s="24"/>
      <c r="F102" s="24"/>
    </row>
    <row r="103" spans="1:7" ht="15" customHeight="1" x14ac:dyDescent="0.2">
      <c r="A103" s="139" t="s">
        <v>37</v>
      </c>
      <c r="B103" s="139"/>
      <c r="C103" s="139"/>
      <c r="D103" s="139"/>
      <c r="E103" s="139"/>
      <c r="F103" s="139"/>
      <c r="G103" s="139"/>
    </row>
    <row r="104" spans="1:7" x14ac:dyDescent="0.2">
      <c r="B104" s="24"/>
      <c r="C104" s="24"/>
      <c r="D104" s="24"/>
      <c r="E104" s="24"/>
      <c r="F104" s="24"/>
    </row>
  </sheetData>
  <sheetProtection algorithmName="SHA-512" hashValue="xpCM0fz8VYBlc2sdja2pN60JkYyVB9A7J+nSiCIwfUM8zg+DiOz1RWJg1qSU2joKjzfEDoDLWmUInevCS2hmRQ==" saltValue="54fIbMcJ/2aetBLnJkwqQw==" spinCount="100000" sheet="1" selectLockedCells="1"/>
  <mergeCells count="8">
    <mergeCell ref="A101:G101"/>
    <mergeCell ref="A103:G103"/>
    <mergeCell ref="A1:G1"/>
    <mergeCell ref="A2:G2"/>
    <mergeCell ref="A87:G87"/>
    <mergeCell ref="E96:F96"/>
    <mergeCell ref="E97:F97"/>
    <mergeCell ref="E98:F98"/>
  </mergeCells>
  <pageMargins left="0.75" right="0.75" top="1" bottom="1" header="0.5" footer="0.5"/>
  <pageSetup paperSize="9" orientation="portrait" horizontalDpi="150" verticalDpi="15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625A8-06A1-4B23-81BA-C1D9F5F8EE1B}">
  <dimension ref="C1:E3"/>
  <sheetViews>
    <sheetView workbookViewId="0"/>
  </sheetViews>
  <sheetFormatPr baseColWidth="10" defaultRowHeight="15" x14ac:dyDescent="0.25"/>
  <sheetData>
    <row r="1" spans="3:5" x14ac:dyDescent="0.25">
      <c r="C1" t="s">
        <v>41</v>
      </c>
      <c r="D1" t="s">
        <v>70</v>
      </c>
      <c r="E1" t="s">
        <v>42</v>
      </c>
    </row>
    <row r="2" spans="3:5" x14ac:dyDescent="0.25">
      <c r="C2" t="s">
        <v>69</v>
      </c>
    </row>
    <row r="3" spans="3:5" x14ac:dyDescent="0.25">
      <c r="C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Presión</vt:lpstr>
      <vt:lpstr>Temperatura</vt:lpstr>
      <vt:lpstr>Cuadratica</vt:lpstr>
      <vt:lpstr>Volumen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2020-12-07T03:45:18Z</dcterms:created>
  <dcterms:modified xsi:type="dcterms:W3CDTF">2020-12-07T20:25:23Z</dcterms:modified>
</cp:coreProperties>
</file>