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log 2020-1\xls\"/>
    </mc:Choice>
  </mc:AlternateContent>
  <xr:revisionPtr revIDLastSave="0" documentId="13_ncr:1_{4EDF2A1E-F0C2-4DF9-8EF2-217A722E2317}" xr6:coauthVersionLast="45" xr6:coauthVersionMax="45" xr10:uidLastSave="{00000000-0000-0000-0000-000000000000}"/>
  <bookViews>
    <workbookView xWindow="-120" yWindow="-120" windowWidth="38640" windowHeight="15990" tabRatio="595" xr2:uid="{8BF0FBD8-75FB-406C-AD52-AAF6CBCABB60}"/>
  </bookViews>
  <sheets>
    <sheet name="Presión " sheetId="8" r:id="rId1"/>
    <sheet name="Temperatura" sheetId="2" r:id="rId2"/>
    <sheet name="Volumen" sheetId="10" r:id="rId3"/>
    <sheet name="_SSC" sheetId="5" state="veryHidden" r:id="rId4"/>
  </sheets>
  <definedNames>
    <definedName name="_inputcolorcell" hidden="1">Temperatura!$C$3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8" l="1"/>
  <c r="B12" i="2"/>
  <c r="B15" i="2" l="1"/>
  <c r="B12" i="10" l="1"/>
  <c r="C90" i="10" s="1"/>
  <c r="B14" i="10"/>
  <c r="B13" i="8"/>
  <c r="B51" i="10"/>
  <c r="A12" i="10"/>
  <c r="C8" i="10"/>
  <c r="C12" i="10" s="1"/>
  <c r="C91" i="10" s="1"/>
  <c r="B24" i="10" s="1"/>
  <c r="C7" i="10"/>
  <c r="D12" i="10" s="1"/>
  <c r="C6" i="8"/>
  <c r="C7" i="2"/>
  <c r="C89" i="10" l="1"/>
  <c r="B22" i="10" s="1"/>
  <c r="C92" i="10"/>
  <c r="B25" i="10" s="1"/>
  <c r="Q37" i="10" s="1"/>
  <c r="B23" i="10"/>
  <c r="B29" i="10" l="1"/>
  <c r="B31" i="10" s="1"/>
  <c r="B46" i="10" s="1"/>
  <c r="B28" i="10"/>
  <c r="B30" i="10" s="1"/>
  <c r="B32" i="10" s="1"/>
  <c r="M37" i="10"/>
  <c r="A12" i="2"/>
  <c r="B33" i="10" l="1"/>
  <c r="B34" i="10" s="1"/>
  <c r="B35" i="10" s="1"/>
  <c r="B47" i="10"/>
  <c r="B48" i="10" s="1"/>
  <c r="B49" i="10" s="1"/>
  <c r="B50" i="10" s="1"/>
  <c r="B21" i="8"/>
  <c r="B50" i="8"/>
  <c r="C7" i="8"/>
  <c r="C8" i="2"/>
  <c r="D12" i="2"/>
  <c r="B14" i="2"/>
  <c r="D96" i="10" l="1"/>
  <c r="B54" i="10"/>
  <c r="E47" i="10" s="1"/>
  <c r="G47" i="10" s="1"/>
  <c r="B53" i="10"/>
  <c r="E46" i="10" s="1"/>
  <c r="G46" i="10" s="1"/>
  <c r="B52" i="10"/>
  <c r="E45" i="10" s="1"/>
  <c r="G45" i="10" s="1"/>
  <c r="B37" i="10"/>
  <c r="B36" i="10"/>
  <c r="C12" i="2"/>
  <c r="C91" i="2" s="1"/>
  <c r="B24" i="8"/>
  <c r="B23" i="8"/>
  <c r="B22" i="8"/>
  <c r="C92" i="2"/>
  <c r="C90" i="2"/>
  <c r="C89" i="2"/>
  <c r="H53" i="10" l="1"/>
  <c r="E53" i="10"/>
  <c r="M48" i="10"/>
  <c r="E51" i="10"/>
  <c r="H51" i="10"/>
  <c r="M46" i="10"/>
  <c r="E52" i="10"/>
  <c r="H52" i="10"/>
  <c r="M47" i="10"/>
  <c r="B38" i="10"/>
  <c r="B40" i="10"/>
  <c r="Q36" i="8"/>
  <c r="M36" i="8"/>
  <c r="B27" i="8"/>
  <c r="B46" i="8" s="1"/>
  <c r="B28" i="8"/>
  <c r="B30" i="8" s="1"/>
  <c r="B51" i="2"/>
  <c r="E58" i="10" l="1"/>
  <c r="F30" i="10"/>
  <c r="J30" i="10" s="1"/>
  <c r="D97" i="10" s="1"/>
  <c r="F31" i="10"/>
  <c r="J31" i="10" s="1"/>
  <c r="D98" i="10" s="1"/>
  <c r="E29" i="10"/>
  <c r="I29" i="10" s="1"/>
  <c r="C96" i="10" s="1"/>
  <c r="B15" i="10" s="1"/>
  <c r="B39" i="10"/>
  <c r="E56" i="10"/>
  <c r="E57" i="10"/>
  <c r="B29" i="8"/>
  <c r="B31" i="8" s="1"/>
  <c r="B45" i="8"/>
  <c r="B32" i="8"/>
  <c r="B47" i="8"/>
  <c r="B48" i="8" s="1"/>
  <c r="B22" i="2"/>
  <c r="B23" i="2"/>
  <c r="B24" i="2"/>
  <c r="B25" i="2"/>
  <c r="M37" i="2" s="1"/>
  <c r="E35" i="10" l="1"/>
  <c r="I35" i="10"/>
  <c r="M33" i="10"/>
  <c r="J37" i="10"/>
  <c r="F37" i="10"/>
  <c r="R36" i="10"/>
  <c r="F36" i="10"/>
  <c r="J36" i="10"/>
  <c r="N36" i="10"/>
  <c r="E31" i="10"/>
  <c r="I31" i="10" s="1"/>
  <c r="C98" i="10" s="1"/>
  <c r="E30" i="10"/>
  <c r="I30" i="10" s="1"/>
  <c r="C97" i="10" s="1"/>
  <c r="B33" i="8"/>
  <c r="B34" i="8" s="1"/>
  <c r="B49" i="8"/>
  <c r="Q37" i="2"/>
  <c r="B28" i="2"/>
  <c r="B47" i="2" s="1"/>
  <c r="B48" i="2" s="1"/>
  <c r="B49" i="2" s="1"/>
  <c r="B29" i="2"/>
  <c r="B31" i="2" s="1"/>
  <c r="B33" i="2" s="1"/>
  <c r="G40" i="10" l="1"/>
  <c r="C101" i="10" s="1"/>
  <c r="E36" i="10"/>
  <c r="R30" i="10"/>
  <c r="N34" i="10" s="1"/>
  <c r="Q30" i="10"/>
  <c r="M34" i="10" s="1"/>
  <c r="M30" i="10"/>
  <c r="M35" i="10" s="1"/>
  <c r="N30" i="10"/>
  <c r="N35" i="10" s="1"/>
  <c r="I36" i="10"/>
  <c r="M36" i="10"/>
  <c r="R31" i="10"/>
  <c r="R34" i="10" s="1"/>
  <c r="I37" i="10"/>
  <c r="Q31" i="10"/>
  <c r="Q34" i="10" s="1"/>
  <c r="M31" i="10"/>
  <c r="Q35" i="10" s="1"/>
  <c r="N31" i="10"/>
  <c r="R35" i="10" s="1"/>
  <c r="E37" i="10"/>
  <c r="Q36" i="10"/>
  <c r="B36" i="8"/>
  <c r="B35" i="8"/>
  <c r="B53" i="8"/>
  <c r="E46" i="8" s="1"/>
  <c r="G46" i="8" s="1"/>
  <c r="B52" i="8"/>
  <c r="E45" i="8" s="1"/>
  <c r="G45" i="8" s="1"/>
  <c r="B51" i="8"/>
  <c r="E44" i="8" s="1"/>
  <c r="G44" i="8" s="1"/>
  <c r="B30" i="2"/>
  <c r="B32" i="2" s="1"/>
  <c r="B34" i="2" s="1"/>
  <c r="B46" i="2"/>
  <c r="R38" i="10" l="1"/>
  <c r="M38" i="10"/>
  <c r="Q38" i="10"/>
  <c r="N38" i="10"/>
  <c r="G41" i="10"/>
  <c r="C102" i="10" s="1"/>
  <c r="G42" i="10"/>
  <c r="C103" i="10" s="1"/>
  <c r="E50" i="8"/>
  <c r="H50" i="8"/>
  <c r="M45" i="8"/>
  <c r="M46" i="8"/>
  <c r="H51" i="8"/>
  <c r="E51" i="8"/>
  <c r="H52" i="8"/>
  <c r="E52" i="8"/>
  <c r="M47" i="8"/>
  <c r="B37" i="8"/>
  <c r="B39" i="8"/>
  <c r="B50" i="2"/>
  <c r="B52" i="2" s="1"/>
  <c r="E45" i="2" s="1"/>
  <c r="G45" i="2" s="1"/>
  <c r="M46" i="2" s="1"/>
  <c r="B35" i="2"/>
  <c r="B37" i="2" s="1"/>
  <c r="D96" i="2"/>
  <c r="E57" i="8" l="1"/>
  <c r="E56" i="8"/>
  <c r="B38" i="8"/>
  <c r="E28" i="8"/>
  <c r="I28" i="8" s="1"/>
  <c r="F29" i="8"/>
  <c r="J29" i="8" s="1"/>
  <c r="F30" i="8"/>
  <c r="J30" i="8" s="1"/>
  <c r="E55" i="8"/>
  <c r="B36" i="2"/>
  <c r="B40" i="2" s="1"/>
  <c r="B53" i="2"/>
  <c r="E46" i="2" s="1"/>
  <c r="G46" i="2" s="1"/>
  <c r="E52" i="2" s="1"/>
  <c r="B54" i="2"/>
  <c r="E47" i="2" s="1"/>
  <c r="G47" i="2" s="1"/>
  <c r="E53" i="2" s="1"/>
  <c r="H51" i="2"/>
  <c r="E51" i="2"/>
  <c r="J35" i="8" l="1"/>
  <c r="F35" i="8"/>
  <c r="N35" i="8"/>
  <c r="E34" i="8"/>
  <c r="I34" i="8"/>
  <c r="M32" i="8"/>
  <c r="E30" i="8"/>
  <c r="I30" i="8" s="1"/>
  <c r="E29" i="8"/>
  <c r="I29" i="8" s="1"/>
  <c r="J36" i="8"/>
  <c r="F36" i="8"/>
  <c r="R35" i="8"/>
  <c r="B38" i="2"/>
  <c r="E29" i="2" s="1"/>
  <c r="I29" i="2" s="1"/>
  <c r="C96" i="2" s="1"/>
  <c r="M47" i="2"/>
  <c r="H52" i="2"/>
  <c r="E57" i="2" s="1"/>
  <c r="H53" i="2"/>
  <c r="E58" i="2" s="1"/>
  <c r="M48" i="2"/>
  <c r="E56" i="2"/>
  <c r="F30" i="2"/>
  <c r="J30" i="2" s="1"/>
  <c r="F31" i="2"/>
  <c r="J31" i="2" s="1"/>
  <c r="G39" i="8" l="1"/>
  <c r="R30" i="8"/>
  <c r="R33" i="8" s="1"/>
  <c r="I36" i="8"/>
  <c r="Q30" i="8"/>
  <c r="Q33" i="8" s="1"/>
  <c r="N30" i="8"/>
  <c r="R34" i="8" s="1"/>
  <c r="M30" i="8"/>
  <c r="Q34" i="8" s="1"/>
  <c r="E36" i="8"/>
  <c r="Q35" i="8"/>
  <c r="E35" i="8"/>
  <c r="I35" i="8"/>
  <c r="R29" i="8"/>
  <c r="N33" i="8" s="1"/>
  <c r="N37" i="8" s="1"/>
  <c r="M29" i="8"/>
  <c r="M34" i="8" s="1"/>
  <c r="Q29" i="8"/>
  <c r="M33" i="8" s="1"/>
  <c r="N29" i="8"/>
  <c r="N34" i="8" s="1"/>
  <c r="M35" i="8"/>
  <c r="B39" i="2"/>
  <c r="E30" i="2" s="1"/>
  <c r="I30" i="2" s="1"/>
  <c r="R36" i="2"/>
  <c r="F37" i="2"/>
  <c r="J37" i="2"/>
  <c r="D98" i="2"/>
  <c r="N36" i="2"/>
  <c r="F36" i="2"/>
  <c r="J36" i="2"/>
  <c r="D97" i="2"/>
  <c r="E35" i="2"/>
  <c r="M33" i="2"/>
  <c r="I35" i="2"/>
  <c r="Q37" i="8" l="1"/>
  <c r="G40" i="8"/>
  <c r="G41" i="8"/>
  <c r="M37" i="8"/>
  <c r="R37" i="8"/>
  <c r="E31" i="2"/>
  <c r="I31" i="2" s="1"/>
  <c r="N31" i="2" s="1"/>
  <c r="R35" i="2" s="1"/>
  <c r="Q30" i="2"/>
  <c r="M34" i="2" s="1"/>
  <c r="R30" i="2"/>
  <c r="N34" i="2" s="1"/>
  <c r="E36" i="2"/>
  <c r="I36" i="2"/>
  <c r="N30" i="2"/>
  <c r="N35" i="2" s="1"/>
  <c r="M30" i="2"/>
  <c r="M35" i="2" s="1"/>
  <c r="M36" i="2"/>
  <c r="C97" i="2"/>
  <c r="G40" i="2"/>
  <c r="C101" i="2" s="1"/>
  <c r="R31" i="2" l="1"/>
  <c r="R34" i="2" s="1"/>
  <c r="R38" i="2" s="1"/>
  <c r="Q36" i="2"/>
  <c r="C98" i="2"/>
  <c r="I37" i="2"/>
  <c r="E37" i="2"/>
  <c r="M31" i="2"/>
  <c r="Q35" i="2" s="1"/>
  <c r="Q31" i="2"/>
  <c r="Q34" i="2" s="1"/>
  <c r="Q38" i="2" s="1"/>
  <c r="G41" i="2"/>
  <c r="C102" i="2" s="1"/>
  <c r="N38" i="2"/>
  <c r="M38" i="2"/>
  <c r="G42" i="2" l="1"/>
  <c r="C103" i="2" s="1"/>
</calcChain>
</file>

<file path=xl/sharedStrings.xml><?xml version="1.0" encoding="utf-8"?>
<sst xmlns="http://schemas.openxmlformats.org/spreadsheetml/2006/main" count="392" uniqueCount="132">
  <si>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</si>
  <si>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</si>
  <si>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</si>
  <si>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t>Resultaten van x als tekst opgemaakt:</t>
  </si>
  <si>
    <r>
      <t>j</t>
    </r>
    <r>
      <rPr>
        <sz val="10"/>
        <rFont val="Arial"/>
        <family val="2"/>
      </rPr>
      <t>/3 +60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=</t>
    </r>
  </si>
  <si>
    <r>
      <t>..van 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</si>
  <si>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..van x</t>
    </r>
    <r>
      <rPr>
        <vertAlign val="subscript"/>
        <sz val="10"/>
        <rFont val="Arial"/>
        <family val="2"/>
      </rPr>
      <t>3</t>
    </r>
  </si>
  <si>
    <r>
      <t>j</t>
    </r>
    <r>
      <rPr>
        <sz val="10"/>
        <rFont val="Arial"/>
        <family val="2"/>
      </rPr>
      <t>/3 - 60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=</t>
    </r>
  </si>
  <si>
    <r>
      <t>..van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</si>
  <si>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..van x</t>
    </r>
    <r>
      <rPr>
        <vertAlign val="subscript"/>
        <sz val="10"/>
        <rFont val="Arial"/>
        <family val="2"/>
      </rPr>
      <t>2</t>
    </r>
  </si>
  <si>
    <r>
      <t>j</t>
    </r>
    <r>
      <rPr>
        <sz val="10"/>
        <rFont val="Arial"/>
        <family val="2"/>
      </rPr>
      <t>/3</t>
    </r>
    <r>
      <rPr>
        <sz val="10"/>
        <rFont val="Symbol"/>
        <family val="1"/>
        <charset val="2"/>
      </rPr>
      <t>=</t>
    </r>
  </si>
  <si>
    <r>
      <t>..van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</si>
  <si>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..van x</t>
    </r>
    <r>
      <rPr>
        <vertAlign val="subscript"/>
        <sz val="10"/>
        <rFont val="Arial"/>
        <family val="2"/>
      </rPr>
      <t>1</t>
    </r>
  </si>
  <si>
    <r>
      <t>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 rad.=</t>
    </r>
  </si>
  <si>
    <t>getal&gt;tekst</t>
  </si>
  <si>
    <t>Tekens..</t>
  </si>
  <si>
    <r>
      <t xml:space="preserve">j </t>
    </r>
    <r>
      <rPr>
        <sz val="10"/>
        <rFont val="Arial"/>
        <family val="2"/>
      </rPr>
      <t xml:space="preserve"> (in rad.)=</t>
    </r>
  </si>
  <si>
    <t>Voorbewerking om resultaten van x als tekst op te maken.</t>
  </si>
  <si>
    <r>
      <t>(|p|/3)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0,5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</si>
  <si>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ingevuld</t>
    </r>
  </si>
  <si>
    <r>
      <t>(|p|/3)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</si>
  <si>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ingevuld</t>
    </r>
  </si>
  <si>
    <r>
      <t>y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</si>
  <si>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t>|p|/3 =</t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</si>
  <si>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ingevuld</t>
    </r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</si>
  <si>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</si>
  <si>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t>q/2=</t>
  </si>
  <si>
    <t>Controle: hieronder moeten (als D&lt;0) nullen of "bijna nullen" staan</t>
  </si>
  <si>
    <r>
      <t>y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</si>
  <si>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t>Tussenresultaten</t>
  </si>
  <si>
    <t>D&lt;0</t>
  </si>
  <si>
    <t>x3=</t>
  </si>
  <si>
    <t>x2=</t>
  </si>
  <si>
    <t>x1=</t>
  </si>
  <si>
    <t>(u-v ) / 2 =</t>
  </si>
  <si>
    <t>Results as text</t>
  </si>
  <si>
    <t>(u+v ) / 2 =</t>
  </si>
  <si>
    <r>
      <t>x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ingevuld</t>
    </r>
  </si>
  <si>
    <r>
      <t>x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ingevuld</t>
    </r>
  </si>
  <si>
    <t>u + v =</t>
  </si>
  <si>
    <t>D</t>
  </si>
  <si>
    <t>..of x3</t>
  </si>
  <si>
    <t>v=</t>
  </si>
  <si>
    <r>
      <t>C*x</t>
    </r>
    <r>
      <rPr>
        <vertAlign val="subscript"/>
        <sz val="10"/>
        <rFont val="Arial"/>
        <family val="2"/>
      </rPr>
      <t>3</t>
    </r>
  </si>
  <si>
    <r>
      <t>C*x</t>
    </r>
    <r>
      <rPr>
        <vertAlign val="subscript"/>
        <sz val="10"/>
        <rFont val="Arial"/>
        <family val="2"/>
      </rPr>
      <t>2</t>
    </r>
  </si>
  <si>
    <t>..of x2</t>
  </si>
  <si>
    <t>u=</t>
  </si>
  <si>
    <r>
      <t>B*x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2</t>
    </r>
  </si>
  <si>
    <r>
      <t>B*x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</si>
  <si>
    <t>..of x1</t>
  </si>
  <si>
    <r>
      <t>D</t>
    </r>
    <r>
      <rPr>
        <vertAlign val="superscript"/>
        <sz val="10"/>
        <rFont val="Arial"/>
        <family val="2"/>
      </rPr>
      <t>0,5</t>
    </r>
    <r>
      <rPr>
        <sz val="10"/>
        <rFont val="Arial"/>
        <family val="2"/>
      </rPr>
      <t>=</t>
    </r>
  </si>
  <si>
    <r>
      <t>A*x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3</t>
    </r>
  </si>
  <si>
    <r>
      <t>A*x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3</t>
    </r>
  </si>
  <si>
    <t>im</t>
  </si>
  <si>
    <t>re</t>
  </si>
  <si>
    <t>Signs</t>
  </si>
  <si>
    <t>D=</t>
  </si>
  <si>
    <r>
      <t>x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ingevuld</t>
    </r>
  </si>
  <si>
    <t xml:space="preserve">Convert results to text </t>
  </si>
  <si>
    <r>
      <t>(q/2)</t>
    </r>
    <r>
      <rPr>
        <vertAlign val="superscript"/>
        <sz val="10"/>
        <rFont val="Arial"/>
        <family val="2"/>
      </rPr>
      <t>2</t>
    </r>
  </si>
  <si>
    <t>Controle voor x1, x2 en x3: hier moeten, als D&gt;=0 nullen of "bijna nullen" staan</t>
  </si>
  <si>
    <r>
      <t>(p/3)</t>
    </r>
    <r>
      <rPr>
        <vertAlign val="superscript"/>
        <sz val="10"/>
        <rFont val="Arial"/>
        <family val="2"/>
      </rPr>
      <t>3</t>
    </r>
  </si>
  <si>
    <r>
      <t>x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3</t>
    </r>
  </si>
  <si>
    <r>
      <t>x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2</t>
    </r>
  </si>
  <si>
    <t>so</t>
  </si>
  <si>
    <t>y3=</t>
  </si>
  <si>
    <r>
      <t>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3</t>
    </r>
  </si>
  <si>
    <r>
      <t>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</si>
  <si>
    <t>y2=</t>
  </si>
  <si>
    <t>p/3=</t>
  </si>
  <si>
    <t>y1=</t>
  </si>
  <si>
    <t>q=</t>
  </si>
  <si>
    <t>Check</t>
  </si>
  <si>
    <t>p=</t>
  </si>
  <si>
    <t>Formulae below if D&gt;0 of D=0</t>
  </si>
  <si>
    <t>C=</t>
  </si>
  <si>
    <t>B=</t>
  </si>
  <si>
    <t>A=</t>
  </si>
  <si>
    <t>Copies of A, B, C and D</t>
  </si>
  <si>
    <t>Imaginaria</t>
  </si>
  <si>
    <t>Real</t>
  </si>
  <si>
    <t>decimales</t>
  </si>
  <si>
    <t xml:space="preserve">Expresión </t>
  </si>
  <si>
    <t>Soluciones</t>
  </si>
  <si>
    <t>Introducir los valores en las celdas de color amarillo</t>
  </si>
  <si>
    <t>{"BrowserAndLocation":{"ConversionPath":"C:\\Users\\juan\\Documents\\SpreadsheetConverter","SelectedBrowsers":[]},"SpreadsheetServer":{"Username":"","Password":"","ServerUrl":""},"ConfigureSubmitDefault":{"Email":"tamayo.mario@gmail.com","Free":false,"Advanced":false,"AdvancedSecured":false,"Demo":true},"MessageBubble":{"Close":false,"TopMsg":0},"CustomizeTheme":{"Theme":"C:\\Users\\juan\\AppData\\Roaming\\SpreadsheetConverter\\V9\\SupportFiles\\themes\\bootstrap\\css\\default-ssc-theme.css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Select"},"WizardButton":{"Next":"Siguiente","Previous":"Anterior","Cancel":"Cancelar","Finish":"Finalizar"},"ToolbarButton":{"Submit":"Enviar","Print":"Imprimir","PrintAll":"Print All","Reset":"Reiniciar","Update":"Update","Back":"Back"},"SubmitDialog":{"SubmitDialogHeading":"Submit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</si>
  <si>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b (L/mol)</t>
  </si>
  <si>
    <t>R (atmL/molK)</t>
  </si>
  <si>
    <t>Cte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</si>
  <si>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0,"Edition":3,"CopyProtect":{"IsEnabled":false,"DomainName":""},"HideSscPoweredlogo":false,"AspnetConfig":{"BrowseUrl":"http://localhost/ssc","FileExtension":0},"NodeSecureLoginEnabled":false,"SmartphoneTheme":1,"Toolbar":{"Position":2,"IsSubmit":false,"IsPrint":true,"IsPrintAll":false,"IsReset":true,"IsUpdate":false},"ConfigureSubmit":{"IsShowCaptcha":false,"IsUseSscWebServer":true,"ReceiverCode":"tamayo.mario@gmail.com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</si>
  <si>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T</t>
  </si>
  <si>
    <r>
      <rPr>
        <b/>
        <sz val="10"/>
        <rFont val="Arial"/>
        <family val="2"/>
      </rPr>
      <t>T</t>
    </r>
    <r>
      <rPr>
        <b/>
        <vertAlign val="superscript"/>
        <sz val="10"/>
        <rFont val="Arial"/>
        <family val="2"/>
      </rPr>
      <t>2</t>
    </r>
  </si>
  <si>
    <r>
      <rPr>
        <b/>
        <sz val="10"/>
        <rFont val="Arial"/>
        <family val="2"/>
      </rPr>
      <t>T</t>
    </r>
    <r>
      <rPr>
        <b/>
        <vertAlign val="superscript"/>
        <sz val="10"/>
        <rFont val="Arial"/>
        <family val="2"/>
      </rPr>
      <t>3</t>
    </r>
  </si>
  <si>
    <r>
      <t>a (atmL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K</t>
    </r>
    <r>
      <rPr>
        <b/>
        <vertAlign val="superscript"/>
        <sz val="10"/>
        <rFont val="Arial"/>
        <family val="2"/>
      </rPr>
      <t>0.5</t>
    </r>
    <r>
      <rPr>
        <b/>
        <sz val="10"/>
        <rFont val="Arial"/>
        <family val="2"/>
      </rPr>
      <t>/mol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</si>
  <si>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Tc (K)</t>
  </si>
  <si>
    <t>pc (atm)</t>
  </si>
  <si>
    <t>p sistema (atm)</t>
  </si>
  <si>
    <t>T ideal (K)</t>
  </si>
  <si>
    <t>Obtención de ecuación cúbica de la temperatura tipo Redlich-Kwong</t>
  </si>
  <si>
    <r>
      <t>Resolución de la ecuación tipo  AT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+BT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+CT+D=0 </t>
    </r>
  </si>
  <si>
    <t>{"IsHide":false,"HiddenInExcel":false,"SheetId":-1,"Name":"Temperatura","Guid":"6FMT4Y","Index":1,"VisibleRange":"","SheetTheme":{"TabColor":"","BodyColor":"","BodyImage":""}}</t>
  </si>
  <si>
    <t>{"IsHide":false,"HiddenInExcel":false,"SheetId":-1,"Name":"Presión ","Guid":"EYP71N","Index":2,"VisibleRange":"","SheetTheme":{"TabColor":"","BodyColor":"","BodyImage":""}}</t>
  </si>
  <si>
    <t>{"IsHide":false,"HiddenInExcel":false,"SheetId":-1,"Name":"Hoja1","Guid":"YKJVT4","Index":3,"VisibleRange":"","SheetTheme":{"TabColor":"","BodyColor":"","BodyImage":""}}</t>
  </si>
  <si>
    <t>Obtención de la presión de un gas con el modelo tipo Redlich-Kwong</t>
  </si>
  <si>
    <t>p ideal (atm)</t>
  </si>
  <si>
    <t>p real (atm)</t>
  </si>
  <si>
    <t xml:space="preserve">Modelo </t>
  </si>
  <si>
    <r>
      <t>Resolución de la ecuación  tipo  AV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+BV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+CV+D=0 </t>
    </r>
  </si>
  <si>
    <t>V ideal (L/mol)</t>
  </si>
  <si>
    <t>V real (L/mol)</t>
  </si>
  <si>
    <t>Dr. Juan Carlos Vázquez Lira UNAM FES Zaragoza 2019</t>
  </si>
  <si>
    <t>Con apoyo del programa DGAPA-UNAM-PAPIME PE-20419</t>
  </si>
  <si>
    <t>Con apoyo del programa DGAPA-UNAM-PAPIME PE-200419</t>
  </si>
  <si>
    <t>T sistema (K)</t>
  </si>
  <si>
    <t>V sistema( L/mol)</t>
  </si>
  <si>
    <t>V sistema ( L/mol)</t>
  </si>
  <si>
    <t>T sistema(K)</t>
  </si>
  <si>
    <r>
      <t xml:space="preserve"> T</t>
    </r>
    <r>
      <rPr>
        <b/>
        <vertAlign val="subscript"/>
        <sz val="13"/>
        <color theme="0"/>
        <rFont val="Calibri"/>
        <family val="2"/>
        <scheme val="minor"/>
      </rPr>
      <t>1</t>
    </r>
    <r>
      <rPr>
        <b/>
        <sz val="13"/>
        <color theme="0"/>
        <rFont val="Calibri"/>
        <family val="2"/>
        <scheme val="minor"/>
      </rPr>
      <t>=</t>
    </r>
  </si>
  <si>
    <r>
      <t xml:space="preserve"> T</t>
    </r>
    <r>
      <rPr>
        <b/>
        <vertAlign val="subscript"/>
        <sz val="13"/>
        <color theme="0"/>
        <rFont val="Calibri"/>
        <family val="2"/>
        <scheme val="minor"/>
      </rPr>
      <t>2</t>
    </r>
    <r>
      <rPr>
        <b/>
        <sz val="13"/>
        <color theme="0"/>
        <rFont val="Calibri"/>
        <family val="2"/>
        <scheme val="minor"/>
      </rPr>
      <t>=</t>
    </r>
  </si>
  <si>
    <r>
      <t>T</t>
    </r>
    <r>
      <rPr>
        <b/>
        <vertAlign val="subscript"/>
        <sz val="13"/>
        <color theme="0"/>
        <rFont val="Calibri"/>
        <family val="2"/>
        <scheme val="minor"/>
      </rPr>
      <t>3</t>
    </r>
    <r>
      <rPr>
        <b/>
        <sz val="13"/>
        <color theme="0"/>
        <rFont val="Calibri"/>
        <family val="2"/>
        <scheme val="minor"/>
      </rPr>
      <t>=</t>
    </r>
  </si>
  <si>
    <r>
      <t>T</t>
    </r>
    <r>
      <rPr>
        <b/>
        <vertAlign val="subscript"/>
        <sz val="13"/>
        <color theme="0"/>
        <rFont val="Calibri"/>
        <family val="2"/>
        <scheme val="minor"/>
      </rPr>
      <t>1</t>
    </r>
    <r>
      <rPr>
        <b/>
        <sz val="13"/>
        <color theme="0"/>
        <rFont val="Calibri"/>
        <family val="2"/>
        <scheme val="minor"/>
      </rPr>
      <t>=</t>
    </r>
  </si>
  <si>
    <r>
      <t>T</t>
    </r>
    <r>
      <rPr>
        <b/>
        <vertAlign val="subscript"/>
        <sz val="13"/>
        <color theme="0"/>
        <rFont val="Calibri"/>
        <family val="2"/>
        <scheme val="minor"/>
      </rPr>
      <t>2</t>
    </r>
    <r>
      <rPr>
        <b/>
        <sz val="13"/>
        <color theme="0"/>
        <rFont val="Calibri"/>
        <family val="2"/>
        <scheme val="minor"/>
      </rPr>
      <t>=</t>
    </r>
  </si>
  <si>
    <r>
      <t xml:space="preserve"> V</t>
    </r>
    <r>
      <rPr>
        <b/>
        <vertAlign val="subscript"/>
        <sz val="13"/>
        <color theme="0"/>
        <rFont val="Calibri"/>
        <family val="2"/>
        <scheme val="minor"/>
      </rPr>
      <t>1</t>
    </r>
    <r>
      <rPr>
        <b/>
        <sz val="13"/>
        <color theme="0"/>
        <rFont val="Calibri"/>
        <family val="2"/>
        <scheme val="minor"/>
      </rPr>
      <t>=</t>
    </r>
  </si>
  <si>
    <r>
      <t xml:space="preserve"> V</t>
    </r>
    <r>
      <rPr>
        <b/>
        <vertAlign val="subscript"/>
        <sz val="13"/>
        <color theme="0"/>
        <rFont val="Calibri"/>
        <family val="2"/>
        <scheme val="minor"/>
      </rPr>
      <t>2</t>
    </r>
    <r>
      <rPr>
        <b/>
        <sz val="13"/>
        <color theme="0"/>
        <rFont val="Calibri"/>
        <family val="2"/>
        <scheme val="minor"/>
      </rPr>
      <t>=</t>
    </r>
  </si>
  <si>
    <r>
      <t>V</t>
    </r>
    <r>
      <rPr>
        <b/>
        <vertAlign val="subscript"/>
        <sz val="13"/>
        <color theme="0"/>
        <rFont val="Calibri"/>
        <family val="2"/>
        <scheme val="minor"/>
      </rPr>
      <t>3</t>
    </r>
    <r>
      <rPr>
        <b/>
        <sz val="13"/>
        <color theme="0"/>
        <rFont val="Calibri"/>
        <family val="2"/>
        <scheme val="minor"/>
      </rPr>
      <t>=</t>
    </r>
  </si>
  <si>
    <r>
      <t>V</t>
    </r>
    <r>
      <rPr>
        <b/>
        <vertAlign val="subscript"/>
        <sz val="13"/>
        <color theme="0"/>
        <rFont val="Calibri"/>
        <family val="2"/>
        <scheme val="minor"/>
      </rPr>
      <t>1</t>
    </r>
    <r>
      <rPr>
        <b/>
        <sz val="13"/>
        <color theme="0"/>
        <rFont val="Calibri"/>
        <family val="2"/>
        <scheme val="minor"/>
      </rPr>
      <t>=</t>
    </r>
  </si>
  <si>
    <r>
      <t>V</t>
    </r>
    <r>
      <rPr>
        <b/>
        <vertAlign val="subscript"/>
        <sz val="13"/>
        <color theme="0"/>
        <rFont val="Calibri"/>
        <family val="2"/>
        <scheme val="minor"/>
      </rPr>
      <t>2</t>
    </r>
    <r>
      <rPr>
        <b/>
        <sz val="13"/>
        <color theme="0"/>
        <rFont val="Calibri"/>
        <family val="2"/>
        <scheme val="minor"/>
      </rPr>
      <t>=</t>
    </r>
  </si>
  <si>
    <t>Obtención de la ecuación cúbica del volumen modelo Redlich-Kwong</t>
  </si>
  <si>
    <r>
      <rPr>
        <b/>
        <sz val="10"/>
        <rFont val="Arial"/>
        <family val="2"/>
      </rPr>
      <t>V</t>
    </r>
    <r>
      <rPr>
        <b/>
        <vertAlign val="superscript"/>
        <sz val="10"/>
        <rFont val="Arial"/>
        <family val="2"/>
      </rPr>
      <t>3</t>
    </r>
  </si>
  <si>
    <r>
      <rPr>
        <b/>
        <sz val="10"/>
        <rFont val="Arial"/>
        <family val="2"/>
      </rPr>
      <t>V</t>
    </r>
    <r>
      <rPr>
        <b/>
        <vertAlign val="superscript"/>
        <sz val="10"/>
        <rFont val="Arial"/>
        <family val="2"/>
      </rPr>
      <t>2</t>
    </r>
  </si>
  <si>
    <t>V</t>
  </si>
  <si>
    <t>T real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</si>
</sst>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1"/>
      <color theme="0"/>
      <name val="Calibri"/>
      <family val="2"/>
      <scheme val="minor"/>
    </font>
    <font>
      <sz val="14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3"/>
      <color theme="0"/>
      <name val="Calibri"/>
      <family val="2"/>
      <scheme val="minor"/>
    </font>
    <font>
      <b/>
      <vertAlign val="subscript"/>
      <sz val="13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0" borderId="0"/>
    <xf numFmtId="0" fontId="11" fillId="8" borderId="24" applyNumberFormat="0" applyAlignment="0" applyProtection="0"/>
  </cellStyleXfs>
  <cellXfs count="111">
    <xf numFmtId="0" fontId="0" fillId="0" borderId="0" xfId="0"/>
    <xf numFmtId="0" fontId="1" fillId="0" borderId="0" xfId="1"/>
    <xf numFmtId="0" fontId="2" fillId="0" borderId="0" xfId="1" applyFont="1"/>
    <xf numFmtId="0" fontId="2" fillId="2" borderId="1" xfId="1" applyFont="1" applyFill="1" applyBorder="1"/>
    <xf numFmtId="0" fontId="2" fillId="2" borderId="1" xfId="1" applyFont="1" applyFill="1" applyBorder="1" applyAlignment="1">
      <alignment horizontal="right"/>
    </xf>
    <xf numFmtId="0" fontId="4" fillId="2" borderId="1" xfId="1" applyFont="1" applyFill="1" applyBorder="1"/>
    <xf numFmtId="0" fontId="2" fillId="2" borderId="1" xfId="1" quotePrefix="1" applyFont="1" applyFill="1" applyBorder="1"/>
    <xf numFmtId="0" fontId="4" fillId="2" borderId="1" xfId="1" applyFont="1" applyFill="1" applyBorder="1" applyAlignment="1">
      <alignment horizontal="left"/>
    </xf>
    <xf numFmtId="0" fontId="4" fillId="2" borderId="1" xfId="1" quotePrefix="1" applyFont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2" fillId="2" borderId="4" xfId="1" applyFont="1" applyFill="1" applyBorder="1"/>
    <xf numFmtId="0" fontId="4" fillId="2" borderId="1" xfId="1" applyFont="1" applyFill="1" applyBorder="1" applyAlignment="1">
      <alignment shrinkToFit="1"/>
    </xf>
    <xf numFmtId="0" fontId="2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right"/>
    </xf>
    <xf numFmtId="0" fontId="2" fillId="0" borderId="0" xfId="1" applyFont="1" applyBorder="1"/>
    <xf numFmtId="0" fontId="1" fillId="3" borderId="16" xfId="1" applyFill="1" applyBorder="1"/>
    <xf numFmtId="0" fontId="1" fillId="4" borderId="18" xfId="1" applyFill="1" applyBorder="1" applyAlignment="1" applyProtection="1">
      <alignment horizontal="right"/>
      <protection locked="0"/>
    </xf>
    <xf numFmtId="0" fontId="1" fillId="3" borderId="17" xfId="1" applyFill="1" applyBorder="1" applyAlignment="1">
      <alignment horizontal="left"/>
    </xf>
    <xf numFmtId="0" fontId="4" fillId="5" borderId="20" xfId="1" applyFont="1" applyFill="1" applyBorder="1" applyAlignment="1">
      <alignment horizontal="center"/>
    </xf>
    <xf numFmtId="0" fontId="4" fillId="5" borderId="21" xfId="1" applyFont="1" applyFill="1" applyBorder="1" applyAlignment="1">
      <alignment horizontal="center"/>
    </xf>
    <xf numFmtId="0" fontId="4" fillId="5" borderId="23" xfId="1" applyFont="1" applyFill="1" applyBorder="1" applyAlignment="1">
      <alignment horizontal="center"/>
    </xf>
    <xf numFmtId="0" fontId="9" fillId="0" borderId="0" xfId="1" applyFont="1" applyFill="1"/>
    <xf numFmtId="0" fontId="9" fillId="5" borderId="0" xfId="1" applyFont="1" applyFill="1"/>
    <xf numFmtId="0" fontId="1" fillId="6" borderId="0" xfId="1" applyFill="1"/>
    <xf numFmtId="0" fontId="2" fillId="7" borderId="0" xfId="1" applyFont="1" applyFill="1"/>
    <xf numFmtId="0" fontId="4" fillId="7" borderId="0" xfId="1" applyFont="1" applyFill="1"/>
    <xf numFmtId="0" fontId="4" fillId="2" borderId="1" xfId="1" applyFont="1" applyFill="1" applyBorder="1" applyProtection="1">
      <protection hidden="1"/>
    </xf>
    <xf numFmtId="0" fontId="8" fillId="2" borderId="1" xfId="1" applyFont="1" applyFill="1" applyBorder="1" applyProtection="1">
      <protection hidden="1"/>
    </xf>
    <xf numFmtId="0" fontId="2" fillId="2" borderId="1" xfId="1" applyFont="1" applyFill="1" applyBorder="1" applyProtection="1">
      <protection hidden="1"/>
    </xf>
    <xf numFmtId="0" fontId="2" fillId="2" borderId="1" xfId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/>
      <protection hidden="1"/>
    </xf>
    <xf numFmtId="0" fontId="2" fillId="2" borderId="1" xfId="1" applyFont="1" applyFill="1" applyBorder="1" applyAlignment="1" applyProtection="1">
      <alignment horizontal="center"/>
      <protection hidden="1"/>
    </xf>
    <xf numFmtId="0" fontId="2" fillId="2" borderId="1" xfId="1" applyNumberFormat="1" applyFont="1" applyFill="1" applyBorder="1" applyProtection="1">
      <protection hidden="1"/>
    </xf>
    <xf numFmtId="0" fontId="4" fillId="2" borderId="1" xfId="1" applyFont="1" applyFill="1" applyBorder="1" applyAlignment="1" applyProtection="1">
      <alignment horizontal="center"/>
      <protection hidden="1"/>
    </xf>
    <xf numFmtId="0" fontId="2" fillId="2" borderId="4" xfId="1" applyFont="1" applyFill="1" applyBorder="1" applyProtection="1">
      <protection hidden="1"/>
    </xf>
    <xf numFmtId="0" fontId="2" fillId="2" borderId="3" xfId="1" applyFont="1" applyFill="1" applyBorder="1" applyProtection="1">
      <protection hidden="1"/>
    </xf>
    <xf numFmtId="0" fontId="4" fillId="2" borderId="2" xfId="1" applyFont="1" applyFill="1" applyBorder="1" applyProtection="1">
      <protection hidden="1"/>
    </xf>
    <xf numFmtId="0" fontId="2" fillId="2" borderId="2" xfId="1" applyFont="1" applyFill="1" applyBorder="1" applyProtection="1">
      <protection hidden="1"/>
    </xf>
    <xf numFmtId="2" fontId="2" fillId="2" borderId="1" xfId="1" applyNumberFormat="1" applyFont="1" applyFill="1" applyBorder="1" applyProtection="1">
      <protection hidden="1"/>
    </xf>
    <xf numFmtId="0" fontId="2" fillId="2" borderId="1" xfId="1" quotePrefix="1" applyFont="1" applyFill="1" applyBorder="1" applyProtection="1">
      <protection hidden="1"/>
    </xf>
    <xf numFmtId="0" fontId="5" fillId="2" borderId="1" xfId="1" applyFont="1" applyFill="1" applyBorder="1" applyProtection="1">
      <protection hidden="1"/>
    </xf>
    <xf numFmtId="2" fontId="2" fillId="2" borderId="1" xfId="1" quotePrefix="1" applyNumberFormat="1" applyFont="1" applyFill="1" applyBorder="1" applyProtection="1">
      <protection hidden="1"/>
    </xf>
    <xf numFmtId="0" fontId="5" fillId="2" borderId="1" xfId="1" applyFont="1" applyFill="1" applyBorder="1" applyAlignment="1" applyProtection="1">
      <protection hidden="1"/>
    </xf>
    <xf numFmtId="0" fontId="1" fillId="9" borderId="0" xfId="1" applyFill="1"/>
    <xf numFmtId="0" fontId="9" fillId="9" borderId="0" xfId="1" applyFont="1" applyFill="1"/>
    <xf numFmtId="0" fontId="12" fillId="9" borderId="0" xfId="1" applyFont="1" applyFill="1"/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1" fillId="0" borderId="0" xfId="1" applyAlignment="1">
      <alignment horizontal="center"/>
    </xf>
    <xf numFmtId="0" fontId="1" fillId="10" borderId="0" xfId="1" applyFill="1"/>
    <xf numFmtId="0" fontId="1" fillId="7" borderId="0" xfId="1" applyFill="1"/>
    <xf numFmtId="0" fontId="14" fillId="0" borderId="0" xfId="1" applyFont="1" applyAlignment="1">
      <alignment horizontal="center"/>
    </xf>
    <xf numFmtId="0" fontId="2" fillId="11" borderId="17" xfId="1" applyFont="1" applyFill="1" applyBorder="1" applyAlignment="1" applyProtection="1">
      <alignment horizontal="center"/>
    </xf>
    <xf numFmtId="0" fontId="2" fillId="11" borderId="16" xfId="1" applyFont="1" applyFill="1" applyBorder="1" applyAlignment="1">
      <alignment horizontal="center"/>
    </xf>
    <xf numFmtId="0" fontId="2" fillId="11" borderId="14" xfId="1" applyFont="1" applyFill="1" applyBorder="1" applyAlignment="1">
      <alignment horizontal="center"/>
    </xf>
    <xf numFmtId="0" fontId="2" fillId="11" borderId="12" xfId="1" applyFont="1" applyFill="1" applyBorder="1" applyAlignment="1">
      <alignment horizontal="center"/>
    </xf>
    <xf numFmtId="0" fontId="2" fillId="11" borderId="10" xfId="1" applyFont="1" applyFill="1" applyBorder="1" applyAlignment="1">
      <alignment horizontal="center"/>
    </xf>
    <xf numFmtId="0" fontId="4" fillId="10" borderId="0" xfId="1" applyFont="1" applyFill="1"/>
    <xf numFmtId="164" fontId="4" fillId="9" borderId="22" xfId="1" applyNumberFormat="1" applyFont="1" applyFill="1" applyBorder="1" applyProtection="1"/>
    <xf numFmtId="164" fontId="4" fillId="9" borderId="12" xfId="1" applyNumberFormat="1" applyFont="1" applyFill="1" applyBorder="1" applyProtection="1"/>
    <xf numFmtId="164" fontId="4" fillId="9" borderId="19" xfId="1" applyNumberFormat="1" applyFont="1" applyFill="1" applyBorder="1" applyProtection="1"/>
    <xf numFmtId="166" fontId="2" fillId="11" borderId="15" xfId="1" applyNumberFormat="1" applyFont="1" applyFill="1" applyBorder="1" applyAlignment="1">
      <alignment horizontal="center"/>
    </xf>
    <xf numFmtId="166" fontId="2" fillId="11" borderId="13" xfId="1" applyNumberFormat="1" applyFont="1" applyFill="1" applyBorder="1" applyAlignment="1">
      <alignment horizontal="center"/>
    </xf>
    <xf numFmtId="166" fontId="2" fillId="11" borderId="11" xfId="1" applyNumberFormat="1" applyFont="1" applyFill="1" applyBorder="1" applyAlignment="1">
      <alignment horizontal="center"/>
    </xf>
    <xf numFmtId="0" fontId="1" fillId="12" borderId="0" xfId="1" applyFill="1" applyBorder="1"/>
    <xf numFmtId="0" fontId="2" fillId="12" borderId="0" xfId="1" applyFont="1" applyFill="1" applyBorder="1"/>
    <xf numFmtId="0" fontId="4" fillId="12" borderId="0" xfId="1" applyFont="1" applyFill="1" applyBorder="1" applyAlignment="1">
      <alignment horizontal="center"/>
    </xf>
    <xf numFmtId="164" fontId="4" fillId="12" borderId="0" xfId="1" applyNumberFormat="1" applyFont="1" applyFill="1" applyBorder="1" applyProtection="1"/>
    <xf numFmtId="0" fontId="1" fillId="12" borderId="0" xfId="1" applyFill="1" applyBorder="1" applyAlignment="1">
      <alignment horizontal="left"/>
    </xf>
    <xf numFmtId="0" fontId="1" fillId="12" borderId="0" xfId="1" applyFill="1" applyBorder="1" applyAlignment="1" applyProtection="1">
      <alignment horizontal="right"/>
      <protection locked="0"/>
    </xf>
    <xf numFmtId="0" fontId="2" fillId="12" borderId="0" xfId="1" applyFont="1" applyFill="1" applyBorder="1" applyAlignment="1">
      <alignment horizontal="right"/>
    </xf>
    <xf numFmtId="0" fontId="2" fillId="12" borderId="0" xfId="1" applyFont="1" applyFill="1" applyBorder="1" applyAlignment="1" applyProtection="1">
      <alignment horizontal="center"/>
    </xf>
    <xf numFmtId="0" fontId="2" fillId="12" borderId="0" xfId="1" applyFont="1" applyFill="1" applyBorder="1" applyAlignment="1">
      <alignment horizontal="center"/>
    </xf>
    <xf numFmtId="0" fontId="11" fillId="12" borderId="0" xfId="2" applyFill="1" applyBorder="1" applyAlignment="1">
      <alignment horizontal="center"/>
    </xf>
    <xf numFmtId="166" fontId="2" fillId="12" borderId="0" xfId="1" applyNumberFormat="1" applyFont="1" applyFill="1" applyBorder="1" applyAlignment="1">
      <alignment horizontal="center"/>
    </xf>
    <xf numFmtId="0" fontId="2" fillId="12" borderId="0" xfId="1" applyFont="1" applyFill="1" applyBorder="1" applyAlignment="1">
      <alignment horizontal="left"/>
    </xf>
    <xf numFmtId="2" fontId="13" fillId="7" borderId="1" xfId="1" applyNumberFormat="1" applyFont="1" applyFill="1" applyBorder="1" applyAlignment="1" applyProtection="1">
      <alignment horizontal="center"/>
      <protection locked="0"/>
    </xf>
    <xf numFmtId="164" fontId="13" fillId="11" borderId="1" xfId="1" applyNumberFormat="1" applyFont="1" applyFill="1" applyBorder="1" applyAlignment="1" applyProtection="1">
      <alignment horizontal="center"/>
    </xf>
    <xf numFmtId="165" fontId="4" fillId="7" borderId="1" xfId="1" applyNumberFormat="1" applyFont="1" applyFill="1" applyBorder="1" applyAlignment="1" applyProtection="1">
      <alignment horizontal="center"/>
      <protection locked="0"/>
    </xf>
    <xf numFmtId="2" fontId="4" fillId="7" borderId="1" xfId="1" applyNumberFormat="1" applyFont="1" applyFill="1" applyBorder="1" applyAlignment="1" applyProtection="1">
      <alignment horizontal="center"/>
      <protection locked="0"/>
    </xf>
    <xf numFmtId="164" fontId="4" fillId="11" borderId="1" xfId="1" applyNumberFormat="1" applyFont="1" applyFill="1" applyBorder="1" applyAlignment="1" applyProtection="1">
      <alignment horizontal="center"/>
      <protection hidden="1"/>
    </xf>
    <xf numFmtId="164" fontId="4" fillId="0" borderId="0" xfId="1" applyNumberFormat="1" applyFont="1" applyAlignment="1">
      <alignment horizontal="center"/>
    </xf>
    <xf numFmtId="166" fontId="4" fillId="11" borderId="15" xfId="1" applyNumberFormat="1" applyFont="1" applyFill="1" applyBorder="1" applyAlignment="1">
      <alignment horizontal="center"/>
    </xf>
    <xf numFmtId="166" fontId="4" fillId="11" borderId="13" xfId="1" applyNumberFormat="1" applyFont="1" applyFill="1" applyBorder="1" applyAlignment="1">
      <alignment horizontal="center"/>
    </xf>
    <xf numFmtId="166" fontId="4" fillId="11" borderId="11" xfId="1" applyNumberFormat="1" applyFont="1" applyFill="1" applyBorder="1" applyAlignment="1">
      <alignment horizontal="center"/>
    </xf>
    <xf numFmtId="164" fontId="4" fillId="11" borderId="1" xfId="1" applyNumberFormat="1" applyFont="1" applyFill="1" applyBorder="1" applyAlignment="1">
      <alignment horizontal="center"/>
    </xf>
    <xf numFmtId="0" fontId="1" fillId="10" borderId="0" xfId="1" applyFont="1" applyFill="1"/>
    <xf numFmtId="164" fontId="13" fillId="7" borderId="1" xfId="1" applyNumberFormat="1" applyFont="1" applyFill="1" applyBorder="1" applyAlignment="1" applyProtection="1">
      <alignment horizontal="center"/>
      <protection locked="0"/>
    </xf>
    <xf numFmtId="0" fontId="15" fillId="8" borderId="24" xfId="2" applyFont="1" applyAlignment="1">
      <alignment horizontal="center"/>
    </xf>
    <xf numFmtId="0" fontId="2" fillId="12" borderId="0" xfId="1" quotePrefix="1" applyFont="1" applyFill="1" applyBorder="1" applyAlignment="1">
      <alignment horizontal="center"/>
    </xf>
    <xf numFmtId="0" fontId="2" fillId="12" borderId="0" xfId="1" applyFont="1" applyFill="1" applyBorder="1" applyAlignment="1">
      <alignment horizontal="center"/>
    </xf>
    <xf numFmtId="0" fontId="4" fillId="11" borderId="9" xfId="1" quotePrefix="1" applyFont="1" applyFill="1" applyBorder="1" applyAlignment="1">
      <alignment horizontal="center"/>
    </xf>
    <xf numFmtId="0" fontId="4" fillId="11" borderId="9" xfId="1" applyFont="1" applyFill="1" applyBorder="1" applyAlignment="1">
      <alignment horizontal="center"/>
    </xf>
    <xf numFmtId="0" fontId="4" fillId="11" borderId="8" xfId="1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4" fillId="11" borderId="7" xfId="1" applyFont="1" applyFill="1" applyBorder="1" applyAlignment="1">
      <alignment horizontal="center"/>
    </xf>
    <xf numFmtId="0" fontId="4" fillId="11" borderId="6" xfId="1" applyFont="1" applyFill="1" applyBorder="1" applyAlignment="1">
      <alignment horizontal="center"/>
    </xf>
    <xf numFmtId="0" fontId="4" fillId="11" borderId="5" xfId="1" applyFont="1" applyFill="1" applyBorder="1" applyAlignment="1">
      <alignment horizontal="center"/>
    </xf>
    <xf numFmtId="0" fontId="2" fillId="11" borderId="9" xfId="1" quotePrefix="1" applyFont="1" applyFill="1" applyBorder="1" applyAlignment="1">
      <alignment horizontal="center"/>
    </xf>
    <xf numFmtId="0" fontId="2" fillId="11" borderId="9" xfId="1" applyFont="1" applyFill="1" applyBorder="1" applyAlignment="1">
      <alignment horizontal="center"/>
    </xf>
    <xf numFmtId="0" fontId="2" fillId="11" borderId="8" xfId="1" applyFont="1" applyFill="1" applyBorder="1" applyAlignment="1">
      <alignment horizontal="center"/>
    </xf>
    <xf numFmtId="0" fontId="2" fillId="11" borderId="0" xfId="1" applyFont="1" applyFill="1" applyBorder="1" applyAlignment="1">
      <alignment horizontal="center"/>
    </xf>
    <xf numFmtId="0" fontId="2" fillId="11" borderId="7" xfId="1" applyFont="1" applyFill="1" applyBorder="1" applyAlignment="1">
      <alignment horizontal="center"/>
    </xf>
    <xf numFmtId="0" fontId="2" fillId="11" borderId="6" xfId="1" applyFont="1" applyFill="1" applyBorder="1" applyAlignment="1">
      <alignment horizontal="center"/>
    </xf>
    <xf numFmtId="0" fontId="2" fillId="11" borderId="5" xfId="1" applyFont="1" applyFill="1" applyBorder="1" applyAlignment="1">
      <alignment horizontal="center"/>
    </xf>
  </cellXfs>
  <cellStyles count="3">
    <cellStyle name="Celda de comprobación" xfId="2" builtinId="23"/>
    <cellStyle name="Normal" xfId="0" builtinId="0"/>
    <cellStyle name="Normal 2" xfId="1" xr:uid="{61B31A69-13C4-46AA-AE17-351F1F7A9E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542925</xdr:colOff>
      <xdr:row>87</xdr:row>
      <xdr:rowOff>28575</xdr:rowOff>
    </xdr:from>
    <xdr:to>
      <xdr:col>6</xdr:col>
      <xdr:colOff>1435557</xdr:colOff>
      <xdr:row>93</xdr:row>
      <xdr:rowOff>53732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460D8C7-5F00-495B-BE65-03FC48591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3095625"/>
          <a:ext cx="892632" cy="996707"/>
        </a:xfrm>
        <a:prstGeom prst="rect">
          <a:avLst/>
        </a:prstGeom>
      </xdr:spPr>
    </xdr:pic>
    <xdr:clientData/>
  </xdr:twoCellAnchor>
  <xdr:twoCellAnchor editAs="oneCell">
    <xdr:from>
      <xdr:col>3</xdr:col>
      <xdr:colOff>628650</xdr:colOff>
      <xdr:row>4</xdr:row>
      <xdr:rowOff>142876</xdr:rowOff>
    </xdr:from>
    <xdr:to>
      <xdr:col>6</xdr:col>
      <xdr:colOff>581025</xdr:colOff>
      <xdr:row>8</xdr:row>
      <xdr:rowOff>47626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91F56C-EC3F-4941-9F0A-8CE3C836E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857251"/>
          <a:ext cx="1905000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228599</xdr:colOff>
      <xdr:row>4</xdr:row>
      <xdr:rowOff>95249</xdr:rowOff>
    </xdr:from>
    <xdr:to>
      <xdr:col>6</xdr:col>
      <xdr:colOff>1752600</xdr:colOff>
      <xdr:row>8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2E99389-A4F8-41D4-9134-A0968B75A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49" y="809624"/>
          <a:ext cx="3476626" cy="723901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857250</xdr:colOff>
      <xdr:row>86</xdr:row>
      <xdr:rowOff>57150</xdr:rowOff>
    </xdr:from>
    <xdr:to>
      <xdr:col>6</xdr:col>
      <xdr:colOff>1749882</xdr:colOff>
      <xdr:row>92</xdr:row>
      <xdr:rowOff>63257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7630A53-7F59-4C17-950D-5F040CAEC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3019425"/>
          <a:ext cx="892632" cy="9967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86</xdr:row>
      <xdr:rowOff>66675</xdr:rowOff>
    </xdr:from>
    <xdr:to>
      <xdr:col>6</xdr:col>
      <xdr:colOff>1264107</xdr:colOff>
      <xdr:row>92</xdr:row>
      <xdr:rowOff>72782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ADF4944-CBE7-4894-9883-D1F54AE63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028950"/>
          <a:ext cx="892632" cy="996707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5</xdr:row>
      <xdr:rowOff>0</xdr:rowOff>
    </xdr:from>
    <xdr:to>
      <xdr:col>6</xdr:col>
      <xdr:colOff>1238250</xdr:colOff>
      <xdr:row>8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76E25B5-937C-41BB-A9F9-9B3F8AFB1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876300"/>
          <a:ext cx="293370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C0E0A-255A-4985-BD4F-6A88EE1DB80B}">
  <dimension ref="A1:T103"/>
  <sheetViews>
    <sheetView showGridLines="0" tabSelected="1" workbookViewId="0">
      <selection activeCell="C92" sqref="C92"/>
    </sheetView>
  </sheetViews>
  <sheetFormatPr baseColWidth="10" defaultColWidth="0" defaultRowHeight="12.75" x14ac:dyDescent="0.2"/>
  <cols>
    <col min="1" max="1" width="13" style="1" customWidth="1"/>
    <col min="2" max="2" width="9.7109375" style="1" customWidth="1"/>
    <col min="3" max="3" width="13" style="1" customWidth="1"/>
    <col min="4" max="4" width="14" style="1" customWidth="1"/>
    <col min="5" max="5" width="8.7109375" style="1" customWidth="1"/>
    <col min="6" max="6" width="6.5703125" style="1" customWidth="1"/>
    <col min="7" max="7" width="26.85546875" style="1" customWidth="1"/>
    <col min="8" max="16384" width="9.140625" style="1" hidden="1"/>
  </cols>
  <sheetData>
    <row r="1" spans="1:20" ht="18" x14ac:dyDescent="0.25">
      <c r="A1" s="49" t="s">
        <v>103</v>
      </c>
      <c r="B1" s="49"/>
      <c r="C1" s="49"/>
      <c r="D1" s="49"/>
      <c r="E1" s="49"/>
      <c r="F1" s="50"/>
      <c r="G1" s="48"/>
      <c r="H1" s="26"/>
      <c r="I1" s="26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30" t="s">
        <v>84</v>
      </c>
      <c r="B2" s="30"/>
      <c r="C2" s="30"/>
      <c r="D2" s="30"/>
      <c r="E2" s="56"/>
      <c r="H2" s="2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A3" s="51" t="s">
        <v>94</v>
      </c>
      <c r="C3" s="85">
        <v>126.15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">
      <c r="A4" s="53" t="s">
        <v>114</v>
      </c>
      <c r="B4" s="53"/>
      <c r="C4" s="93">
        <v>2</v>
      </c>
      <c r="E4" s="51" t="s">
        <v>106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A5" s="53" t="s">
        <v>95</v>
      </c>
      <c r="B5" s="53"/>
      <c r="C5" s="93">
        <v>33.5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25" customHeight="1" x14ac:dyDescent="0.2">
      <c r="A6" s="53" t="s">
        <v>93</v>
      </c>
      <c r="B6" s="53"/>
      <c r="C6" s="83">
        <f>0.4278*((C8^2)*(C3)^2.5)/C5</f>
        <v>15.347647471728642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">
      <c r="A7" s="53" t="s">
        <v>86</v>
      </c>
      <c r="B7" s="53"/>
      <c r="C7" s="83">
        <f>0.0867*((C8)*(C3))/C5</f>
        <v>2.6771665970149253E-2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">
      <c r="A8" s="51" t="s">
        <v>87</v>
      </c>
      <c r="C8" s="84">
        <v>8.2000000000000003E-2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">
      <c r="A9" s="51" t="s">
        <v>116</v>
      </c>
      <c r="C9" s="85">
        <v>100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4.25" x14ac:dyDescent="0.2">
      <c r="A10" s="57"/>
      <c r="B10" s="57"/>
      <c r="C10" s="52"/>
      <c r="D10" s="5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">
      <c r="A11" s="54"/>
      <c r="B11" s="54"/>
      <c r="C11" s="54"/>
      <c r="D11" s="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"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">
      <c r="A13" s="51" t="s">
        <v>104</v>
      </c>
      <c r="B13" s="86">
        <f>(C8*C9)/C4</f>
        <v>4.1000000000000005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">
      <c r="A14" s="51" t="s">
        <v>105</v>
      </c>
      <c r="B14" s="86">
        <f>(C8*C9/(C4-C7))-(C6/(((C4^2)+C4*C7)*C9^0.5))</f>
        <v>3.7770035200623848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idden="1" x14ac:dyDescent="0.2"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idden="1" x14ac:dyDescent="0.2"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idden="1" x14ac:dyDescent="0.2"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idden="1" x14ac:dyDescent="0.2"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idden="1" x14ac:dyDescent="0.2">
      <c r="A19" s="2"/>
      <c r="B19" s="2"/>
      <c r="C19" s="2"/>
      <c r="D19" s="2"/>
      <c r="E19" s="2"/>
      <c r="F19" s="2"/>
      <c r="G19" s="2"/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idden="1" x14ac:dyDescent="0.2">
      <c r="A20" s="31" t="s">
        <v>78</v>
      </c>
      <c r="B20" s="32"/>
      <c r="C20" s="32"/>
      <c r="D20" s="32"/>
      <c r="E20" s="33"/>
      <c r="F20" s="33"/>
      <c r="G20" s="3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2"/>
      <c r="T20" s="2"/>
    </row>
    <row r="21" spans="1:20" hidden="1" x14ac:dyDescent="0.2">
      <c r="A21" s="34" t="s">
        <v>77</v>
      </c>
      <c r="B21" s="33" t="e">
        <f>#REF!</f>
        <v>#REF!</v>
      </c>
      <c r="C21" s="33"/>
      <c r="D21" s="33"/>
      <c r="E21" s="33"/>
      <c r="F21" s="33"/>
      <c r="G21" s="3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  <c r="T21" s="2"/>
    </row>
    <row r="22" spans="1:20" hidden="1" x14ac:dyDescent="0.2">
      <c r="A22" s="34" t="s">
        <v>76</v>
      </c>
      <c r="B22" s="33" t="e">
        <f>#REF!</f>
        <v>#REF!</v>
      </c>
      <c r="C22" s="33"/>
      <c r="D22" s="33"/>
      <c r="E22" s="33"/>
      <c r="F22" s="33"/>
      <c r="G22" s="3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"/>
      <c r="T22" s="2"/>
    </row>
    <row r="23" spans="1:20" hidden="1" x14ac:dyDescent="0.2">
      <c r="A23" s="34" t="s">
        <v>75</v>
      </c>
      <c r="B23" s="33" t="e">
        <f>#REF!</f>
        <v>#REF!</v>
      </c>
      <c r="C23" s="33"/>
      <c r="D23" s="33"/>
      <c r="E23" s="33"/>
      <c r="F23" s="33"/>
      <c r="G23" s="3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"/>
      <c r="T23" s="2"/>
    </row>
    <row r="24" spans="1:20" hidden="1" x14ac:dyDescent="0.2">
      <c r="A24" s="34" t="s">
        <v>56</v>
      </c>
      <c r="B24" s="33">
        <f>C91</f>
        <v>0</v>
      </c>
      <c r="C24" s="33"/>
      <c r="D24" s="33"/>
      <c r="E24" s="33"/>
      <c r="F24" s="33"/>
      <c r="G24" s="3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  <c r="T24" s="2"/>
    </row>
    <row r="25" spans="1:20" hidden="1" x14ac:dyDescent="0.2">
      <c r="A25" s="35" t="s">
        <v>74</v>
      </c>
      <c r="B25" s="33"/>
      <c r="C25" s="33"/>
      <c r="D25" s="33"/>
      <c r="E25" s="33"/>
      <c r="F25" s="33"/>
      <c r="G25" s="3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T25" s="2"/>
    </row>
    <row r="26" spans="1:20" hidden="1" x14ac:dyDescent="0.2">
      <c r="A26" s="33" t="s">
        <v>29</v>
      </c>
      <c r="B26" s="33"/>
      <c r="C26" s="33"/>
      <c r="D26" s="33"/>
      <c r="E26" s="33"/>
      <c r="F26" s="33"/>
      <c r="G26" s="3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2"/>
    </row>
    <row r="27" spans="1:20" hidden="1" x14ac:dyDescent="0.2">
      <c r="A27" s="34" t="s">
        <v>73</v>
      </c>
      <c r="B27" s="33" t="e">
        <f>+(B23/B21)-((B22^2)/(3*B21^2))</f>
        <v>#REF!</v>
      </c>
      <c r="C27" s="33"/>
      <c r="D27" s="33"/>
      <c r="E27" s="36" t="s">
        <v>54</v>
      </c>
      <c r="F27" s="36" t="s">
        <v>53</v>
      </c>
      <c r="G27" s="33"/>
      <c r="H27" s="15"/>
      <c r="I27" s="13" t="s">
        <v>54</v>
      </c>
      <c r="J27" s="13" t="s">
        <v>53</v>
      </c>
      <c r="K27" s="3"/>
      <c r="L27" s="5" t="s">
        <v>72</v>
      </c>
      <c r="M27" s="3"/>
      <c r="N27" s="3"/>
      <c r="O27" s="3"/>
      <c r="P27" s="3"/>
      <c r="Q27" s="3"/>
      <c r="R27" s="3"/>
      <c r="S27" s="2"/>
      <c r="T27" s="2"/>
    </row>
    <row r="28" spans="1:20" hidden="1" x14ac:dyDescent="0.2">
      <c r="A28" s="34" t="s">
        <v>71</v>
      </c>
      <c r="B28" s="33" t="e">
        <f>((2*B22^3)/(27*B21^3))-((B22*B23)/(3*B21^2))+(B24/B21)</f>
        <v>#REF!</v>
      </c>
      <c r="C28" s="33"/>
      <c r="D28" s="34" t="s">
        <v>70</v>
      </c>
      <c r="E28" s="33" t="e">
        <f>B37</f>
        <v>#REF!</v>
      </c>
      <c r="F28" s="33"/>
      <c r="G28" s="36" t="s">
        <v>64</v>
      </c>
      <c r="H28" s="4" t="s">
        <v>33</v>
      </c>
      <c r="I28" s="3" t="e">
        <f>E28-((B22)/(3*B21))</f>
        <v>#REF!</v>
      </c>
      <c r="J28" s="3"/>
      <c r="K28" s="3"/>
      <c r="L28" s="3"/>
      <c r="M28" s="3"/>
      <c r="N28" s="3"/>
      <c r="O28" s="3"/>
      <c r="P28" s="3"/>
      <c r="Q28" s="3"/>
      <c r="R28" s="3"/>
      <c r="S28" s="2"/>
      <c r="T28" s="2"/>
    </row>
    <row r="29" spans="1:20" ht="15.75" hidden="1" x14ac:dyDescent="0.3">
      <c r="A29" s="34" t="s">
        <v>69</v>
      </c>
      <c r="B29" s="33" t="e">
        <f>B27/3</f>
        <v>#REF!</v>
      </c>
      <c r="C29" s="33"/>
      <c r="D29" s="34" t="s">
        <v>68</v>
      </c>
      <c r="E29" s="37" t="e">
        <f>-B38</f>
        <v>#REF!</v>
      </c>
      <c r="F29" s="33" t="e">
        <f>SQRT(3)*B39</f>
        <v>#REF!</v>
      </c>
      <c r="G29" s="36" t="s">
        <v>64</v>
      </c>
      <c r="H29" s="4" t="s">
        <v>32</v>
      </c>
      <c r="I29" s="6" t="e">
        <f>E29-((B22)/(3*B21))</f>
        <v>#REF!</v>
      </c>
      <c r="J29" s="3" t="e">
        <f>F29</f>
        <v>#REF!</v>
      </c>
      <c r="K29" s="3"/>
      <c r="L29" s="3" t="s">
        <v>67</v>
      </c>
      <c r="M29" s="3" t="e">
        <f>I29^2-J29^2</f>
        <v>#REF!</v>
      </c>
      <c r="N29" s="3" t="e">
        <f>2*I29*J29</f>
        <v>#REF!</v>
      </c>
      <c r="O29" s="3"/>
      <c r="P29" s="3" t="s">
        <v>66</v>
      </c>
      <c r="Q29" s="3" t="e">
        <f>I29^3-3*I29*J29^2</f>
        <v>#REF!</v>
      </c>
      <c r="R29" s="3" t="e">
        <f>3*I29^2*J29-J29^3</f>
        <v>#REF!</v>
      </c>
      <c r="S29" s="2"/>
      <c r="T29" s="2"/>
    </row>
    <row r="30" spans="1:20" ht="15.75" hidden="1" x14ac:dyDescent="0.3">
      <c r="A30" s="34" t="s">
        <v>26</v>
      </c>
      <c r="B30" s="33" t="e">
        <f>B28/2</f>
        <v>#REF!</v>
      </c>
      <c r="C30" s="33"/>
      <c r="D30" s="34" t="s">
        <v>65</v>
      </c>
      <c r="E30" s="33" t="e">
        <f>-B38</f>
        <v>#REF!</v>
      </c>
      <c r="F30" s="33" t="e">
        <f>-SQRT(3)*B39</f>
        <v>#REF!</v>
      </c>
      <c r="G30" s="36" t="s">
        <v>64</v>
      </c>
      <c r="H30" s="4" t="s">
        <v>31</v>
      </c>
      <c r="I30" s="6" t="e">
        <f>E30-((B22)/(3*B21))</f>
        <v>#REF!</v>
      </c>
      <c r="J30" s="3" t="e">
        <f>F30</f>
        <v>#REF!</v>
      </c>
      <c r="K30" s="3"/>
      <c r="L30" s="3" t="s">
        <v>63</v>
      </c>
      <c r="M30" s="3" t="e">
        <f>I30^2-J30^2</f>
        <v>#REF!</v>
      </c>
      <c r="N30" s="3" t="e">
        <f>2*I30*J30</f>
        <v>#REF!</v>
      </c>
      <c r="O30" s="3"/>
      <c r="P30" s="3" t="s">
        <v>62</v>
      </c>
      <c r="Q30" s="3" t="e">
        <f>I30^3-3*I30*J30^2</f>
        <v>#REF!</v>
      </c>
      <c r="R30" s="3" t="e">
        <f>3*I30^2*J30-J30^3</f>
        <v>#REF!</v>
      </c>
      <c r="S30" s="2"/>
      <c r="T30" s="2"/>
    </row>
    <row r="31" spans="1:20" ht="14.25" hidden="1" x14ac:dyDescent="0.2">
      <c r="A31" s="34" t="s">
        <v>61</v>
      </c>
      <c r="B31" s="33" t="e">
        <f>B29^3</f>
        <v>#REF!</v>
      </c>
      <c r="C31" s="33"/>
      <c r="D31" s="33"/>
      <c r="E31" s="33"/>
      <c r="F31" s="33"/>
      <c r="G31" s="33"/>
      <c r="H31" s="3"/>
      <c r="I31" s="3"/>
      <c r="J31" s="3"/>
      <c r="K31" s="3"/>
      <c r="L31" s="5" t="s">
        <v>60</v>
      </c>
      <c r="M31" s="3"/>
      <c r="N31" s="3"/>
      <c r="O31" s="3"/>
      <c r="P31" s="3"/>
      <c r="Q31" s="3"/>
      <c r="R31" s="3"/>
      <c r="S31" s="2"/>
      <c r="T31" s="2"/>
    </row>
    <row r="32" spans="1:20" ht="15" hidden="1" x14ac:dyDescent="0.25">
      <c r="A32" s="34" t="s">
        <v>59</v>
      </c>
      <c r="B32" s="33" t="e">
        <f>B30^2</f>
        <v>#REF!</v>
      </c>
      <c r="C32" s="33"/>
      <c r="D32" s="35" t="s">
        <v>58</v>
      </c>
      <c r="E32" s="38"/>
      <c r="F32" s="38"/>
      <c r="G32" s="38"/>
      <c r="H32" s="14"/>
      <c r="I32" s="14"/>
      <c r="J32" s="14"/>
      <c r="K32" s="3"/>
      <c r="L32" s="12" t="s">
        <v>57</v>
      </c>
      <c r="M32" s="5" t="e">
        <f>B21*I28^3+B22*I28^2+B23*I28+B24</f>
        <v>#REF!</v>
      </c>
      <c r="N32" s="3"/>
      <c r="O32" s="3"/>
      <c r="P32" s="3"/>
      <c r="Q32" s="3"/>
      <c r="R32" s="3"/>
      <c r="S32" s="2"/>
      <c r="T32" s="2"/>
    </row>
    <row r="33" spans="1:20" ht="15.75" hidden="1" x14ac:dyDescent="0.3">
      <c r="A33" s="34" t="s">
        <v>56</v>
      </c>
      <c r="B33" s="33" t="e">
        <f>B31+B32</f>
        <v>#REF!</v>
      </c>
      <c r="C33" s="33"/>
      <c r="D33" s="33" t="s">
        <v>55</v>
      </c>
      <c r="E33" s="36" t="s">
        <v>54</v>
      </c>
      <c r="F33" s="36" t="s">
        <v>53</v>
      </c>
      <c r="G33" s="33"/>
      <c r="H33" s="3" t="s">
        <v>14</v>
      </c>
      <c r="I33" s="13" t="s">
        <v>54</v>
      </c>
      <c r="J33" s="13" t="s">
        <v>53</v>
      </c>
      <c r="K33" s="3"/>
      <c r="L33" s="3" t="s">
        <v>52</v>
      </c>
      <c r="M33" s="3" t="e">
        <f>B21*Q29</f>
        <v>#REF!</v>
      </c>
      <c r="N33" s="3" t="e">
        <f>B21*R29</f>
        <v>#REF!</v>
      </c>
      <c r="O33" s="3"/>
      <c r="P33" s="3" t="s">
        <v>51</v>
      </c>
      <c r="Q33" s="3" t="e">
        <f>B21*Q30</f>
        <v>#REF!</v>
      </c>
      <c r="R33" s="3" t="e">
        <f>B21*R30</f>
        <v>#REF!</v>
      </c>
      <c r="S33" s="2"/>
      <c r="T33" s="2"/>
    </row>
    <row r="34" spans="1:20" ht="15.75" hidden="1" x14ac:dyDescent="0.3">
      <c r="A34" s="34" t="s">
        <v>50</v>
      </c>
      <c r="B34" s="33" t="e">
        <f>SQRT(B33)</f>
        <v>#REF!</v>
      </c>
      <c r="C34" s="33"/>
      <c r="D34" s="34" t="s">
        <v>49</v>
      </c>
      <c r="E34" s="36" t="e">
        <f>IF(I28&gt;0,"+","-")</f>
        <v>#REF!</v>
      </c>
      <c r="F34" s="36"/>
      <c r="G34" s="33"/>
      <c r="H34" s="4" t="s">
        <v>49</v>
      </c>
      <c r="I34" s="3" t="e">
        <f>FIXED(ABS(I28),C92,TRUE)</f>
        <v>#REF!</v>
      </c>
      <c r="J34" s="3"/>
      <c r="K34" s="3"/>
      <c r="L34" s="3" t="s">
        <v>48</v>
      </c>
      <c r="M34" s="3" t="e">
        <f>B22*M29</f>
        <v>#REF!</v>
      </c>
      <c r="N34" s="3" t="e">
        <f>B22*N29</f>
        <v>#REF!</v>
      </c>
      <c r="O34" s="3"/>
      <c r="P34" s="3" t="s">
        <v>47</v>
      </c>
      <c r="Q34" s="3" t="e">
        <f>B22*M30</f>
        <v>#REF!</v>
      </c>
      <c r="R34" s="3" t="e">
        <f>B22*N30</f>
        <v>#REF!</v>
      </c>
      <c r="S34" s="2"/>
      <c r="T34" s="2"/>
    </row>
    <row r="35" spans="1:20" ht="15.75" hidden="1" x14ac:dyDescent="0.3">
      <c r="A35" s="34" t="s">
        <v>46</v>
      </c>
      <c r="B35" s="33" t="e">
        <f>(-B30+B34)^(1/3)</f>
        <v>#REF!</v>
      </c>
      <c r="C35" s="33"/>
      <c r="D35" s="34" t="s">
        <v>45</v>
      </c>
      <c r="E35" s="36" t="e">
        <f>IF(I29&gt;0,"+","-")</f>
        <v>#REF!</v>
      </c>
      <c r="F35" s="36" t="e">
        <f>IF(J29&gt;0,"+","-")</f>
        <v>#REF!</v>
      </c>
      <c r="G35" s="33"/>
      <c r="H35" s="4" t="s">
        <v>45</v>
      </c>
      <c r="I35" s="3" t="e">
        <f>FIXED(ABS(I29),C92,TRUE)</f>
        <v>#REF!</v>
      </c>
      <c r="J35" s="3" t="e">
        <f>FIXED(ABS(J29),C92,TRUE)</f>
        <v>#REF!</v>
      </c>
      <c r="K35" s="3"/>
      <c r="L35" s="3" t="s">
        <v>44</v>
      </c>
      <c r="M35" s="3" t="e">
        <f>B23*I29</f>
        <v>#REF!</v>
      </c>
      <c r="N35" s="3" t="e">
        <f>B23*J29</f>
        <v>#REF!</v>
      </c>
      <c r="O35" s="3"/>
      <c r="P35" s="3" t="s">
        <v>43</v>
      </c>
      <c r="Q35" s="3" t="e">
        <f>B23*I30</f>
        <v>#REF!</v>
      </c>
      <c r="R35" s="3" t="e">
        <f>B23*J30</f>
        <v>#REF!</v>
      </c>
      <c r="S35" s="2"/>
      <c r="T35" s="2"/>
    </row>
    <row r="36" spans="1:20" hidden="1" x14ac:dyDescent="0.2">
      <c r="A36" s="34" t="s">
        <v>42</v>
      </c>
      <c r="B36" s="33" t="e">
        <f>(-B30-B34)^(1/3)</f>
        <v>#REF!</v>
      </c>
      <c r="C36" s="33"/>
      <c r="D36" s="34" t="s">
        <v>41</v>
      </c>
      <c r="E36" s="36" t="e">
        <f>IF(I30&gt;0,"+","-")</f>
        <v>#REF!</v>
      </c>
      <c r="F36" s="36" t="e">
        <f>IF(J30&gt;0,"+","-")</f>
        <v>#REF!</v>
      </c>
      <c r="G36" s="33"/>
      <c r="H36" s="4" t="s">
        <v>41</v>
      </c>
      <c r="I36" s="3" t="e">
        <f>FIXED(ABS(I30),C92,TRUE)</f>
        <v>#REF!</v>
      </c>
      <c r="J36" s="3" t="e">
        <f>FIXED(ABS(J30),C92,TRUE)</f>
        <v>#REF!</v>
      </c>
      <c r="K36" s="3"/>
      <c r="L36" s="3" t="s">
        <v>40</v>
      </c>
      <c r="M36" s="3">
        <f>B24</f>
        <v>0</v>
      </c>
      <c r="N36" s="3"/>
      <c r="O36" s="3"/>
      <c r="P36" s="3" t="s">
        <v>40</v>
      </c>
      <c r="Q36" s="3">
        <f>B24</f>
        <v>0</v>
      </c>
      <c r="R36" s="3"/>
      <c r="S36" s="2"/>
      <c r="T36" s="2"/>
    </row>
    <row r="37" spans="1:20" ht="14.25" hidden="1" x14ac:dyDescent="0.25">
      <c r="A37" s="34" t="s">
        <v>39</v>
      </c>
      <c r="B37" s="33" t="e">
        <f>B35+B36</f>
        <v>#REF!</v>
      </c>
      <c r="C37" s="33"/>
      <c r="D37" s="33"/>
      <c r="E37" s="33"/>
      <c r="F37" s="33"/>
      <c r="G37" s="33"/>
      <c r="H37" s="3"/>
      <c r="I37" s="3"/>
      <c r="J37" s="3"/>
      <c r="K37" s="3"/>
      <c r="L37" s="12" t="s">
        <v>38</v>
      </c>
      <c r="M37" s="5" t="e">
        <f>SUM(M33:M36)</f>
        <v>#REF!</v>
      </c>
      <c r="N37" s="5" t="e">
        <f>SUM(N33:N36)</f>
        <v>#REF!</v>
      </c>
      <c r="O37" s="3"/>
      <c r="P37" s="12" t="s">
        <v>37</v>
      </c>
      <c r="Q37" s="5" t="e">
        <f>SUM(Q33:Q36)</f>
        <v>#REF!</v>
      </c>
      <c r="R37" s="5" t="e">
        <f>SUM(R33:R36)</f>
        <v>#REF!</v>
      </c>
      <c r="S37" s="2"/>
      <c r="T37" s="2"/>
    </row>
    <row r="38" spans="1:20" hidden="1" x14ac:dyDescent="0.2">
      <c r="A38" s="34" t="s">
        <v>36</v>
      </c>
      <c r="B38" s="33" t="e">
        <f>0.5*B37</f>
        <v>#REF!</v>
      </c>
      <c r="C38" s="33"/>
      <c r="D38" s="33"/>
      <c r="E38" s="33"/>
      <c r="F38" s="31" t="s">
        <v>35</v>
      </c>
      <c r="G38" s="3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"/>
      <c r="T38" s="2"/>
    </row>
    <row r="39" spans="1:20" hidden="1" x14ac:dyDescent="0.2">
      <c r="A39" s="34" t="s">
        <v>34</v>
      </c>
      <c r="B39" s="33" t="e">
        <f>0.5*(B35-B36)</f>
        <v>#REF!</v>
      </c>
      <c r="C39" s="33"/>
      <c r="D39" s="33"/>
      <c r="E39" s="33"/>
      <c r="F39" s="33" t="s">
        <v>33</v>
      </c>
      <c r="G39" s="33" t="e">
        <f>E34&amp;I34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  <c r="T39" s="2"/>
    </row>
    <row r="40" spans="1:20" hidden="1" x14ac:dyDescent="0.2">
      <c r="A40" s="33"/>
      <c r="B40" s="33"/>
      <c r="C40" s="33"/>
      <c r="D40" s="33"/>
      <c r="E40" s="33"/>
      <c r="F40" s="33" t="s">
        <v>32</v>
      </c>
      <c r="G40" s="33" t="e">
        <f>E35&amp;I35&amp;F35&amp;J35&amp;"j"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2"/>
    </row>
    <row r="41" spans="1:20" hidden="1" x14ac:dyDescent="0.2">
      <c r="A41" s="39"/>
      <c r="B41" s="39"/>
      <c r="C41" s="39"/>
      <c r="D41" s="39"/>
      <c r="E41" s="39"/>
      <c r="F41" s="39" t="s">
        <v>31</v>
      </c>
      <c r="G41" s="39" t="e">
        <f>E36&amp;I36&amp;F36&amp;J36&amp;"j"</f>
        <v>#REF!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2"/>
      <c r="T41" s="2"/>
    </row>
    <row r="42" spans="1:20" ht="13.5" hidden="1" thickBot="1" x14ac:dyDescent="0.25">
      <c r="A42" s="40"/>
      <c r="B42" s="40"/>
      <c r="C42" s="40"/>
      <c r="D42" s="40"/>
      <c r="E42" s="40"/>
      <c r="F42" s="40"/>
      <c r="G42" s="4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2"/>
      <c r="T42" s="2"/>
    </row>
    <row r="43" spans="1:20" hidden="1" x14ac:dyDescent="0.2">
      <c r="A43" s="41" t="s">
        <v>30</v>
      </c>
      <c r="B43" s="42"/>
      <c r="C43" s="42"/>
      <c r="D43" s="42"/>
      <c r="E43" s="42"/>
      <c r="F43" s="42"/>
      <c r="G43" s="42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2"/>
      <c r="T43" s="2"/>
    </row>
    <row r="44" spans="1:20" ht="15.75" hidden="1" x14ac:dyDescent="0.3">
      <c r="A44" s="33" t="s">
        <v>29</v>
      </c>
      <c r="B44" s="33"/>
      <c r="C44" s="33"/>
      <c r="D44" s="34" t="s">
        <v>28</v>
      </c>
      <c r="E44" s="33" t="e">
        <f>2*SQRT(B46)*COS(B51)</f>
        <v>#REF!</v>
      </c>
      <c r="F44" s="34" t="s">
        <v>2</v>
      </c>
      <c r="G44" s="33" t="e">
        <f>E44-(B22)/(3*B21)</f>
        <v>#REF!</v>
      </c>
      <c r="H44" s="3"/>
      <c r="I44" s="3"/>
      <c r="J44" s="3"/>
      <c r="K44" s="3"/>
      <c r="L44" s="5" t="s">
        <v>27</v>
      </c>
      <c r="M44" s="3"/>
      <c r="N44" s="3"/>
      <c r="O44" s="3"/>
      <c r="P44" s="3"/>
      <c r="Q44" s="3"/>
      <c r="R44" s="3"/>
      <c r="S44" s="2"/>
      <c r="T44" s="2"/>
    </row>
    <row r="45" spans="1:20" ht="15.75" hidden="1" x14ac:dyDescent="0.3">
      <c r="A45" s="33" t="s">
        <v>26</v>
      </c>
      <c r="B45" s="33" t="e">
        <f>B30</f>
        <v>#REF!</v>
      </c>
      <c r="C45" s="33"/>
      <c r="D45" s="34" t="s">
        <v>25</v>
      </c>
      <c r="E45" s="33" t="e">
        <f>-2*SQRT(B46)*COS(B52)</f>
        <v>#REF!</v>
      </c>
      <c r="F45" s="34" t="s">
        <v>1</v>
      </c>
      <c r="G45" s="43" t="e">
        <f>E45-(B22)/(3*B21)</f>
        <v>#REF!</v>
      </c>
      <c r="H45" s="3"/>
      <c r="I45" s="3"/>
      <c r="J45" s="3"/>
      <c r="K45" s="3"/>
      <c r="L45" s="3" t="s">
        <v>24</v>
      </c>
      <c r="M45" s="8" t="e">
        <f>B21*G44^3+B22*G44^2+B23*G44+B24</f>
        <v>#REF!</v>
      </c>
      <c r="N45" s="3"/>
      <c r="O45" s="3"/>
      <c r="P45" s="3"/>
      <c r="Q45" s="3"/>
      <c r="R45" s="3"/>
      <c r="S45" s="2"/>
      <c r="T45" s="2"/>
    </row>
    <row r="46" spans="1:20" ht="15.75" hidden="1" x14ac:dyDescent="0.3">
      <c r="A46" s="44" t="s">
        <v>23</v>
      </c>
      <c r="B46" s="33" t="e">
        <f>ABS(B27)/3</f>
        <v>#REF!</v>
      </c>
      <c r="C46" s="33"/>
      <c r="D46" s="34" t="s">
        <v>22</v>
      </c>
      <c r="E46" s="33" t="e">
        <f>-2*SQRT(B46)*COS(B53)</f>
        <v>#REF!</v>
      </c>
      <c r="F46" s="34" t="s">
        <v>0</v>
      </c>
      <c r="G46" s="33" t="e">
        <f>E46-(B22)/(3*B21)</f>
        <v>#REF!</v>
      </c>
      <c r="H46" s="3"/>
      <c r="I46" s="3"/>
      <c r="J46" s="3"/>
      <c r="K46" s="3"/>
      <c r="L46" s="3" t="s">
        <v>21</v>
      </c>
      <c r="M46" s="8" t="e">
        <f>B21*G45^3+B22*G45^2+B23*G45+B24</f>
        <v>#REF!</v>
      </c>
      <c r="N46" s="3"/>
      <c r="O46" s="3"/>
      <c r="P46" s="3"/>
      <c r="Q46" s="3"/>
      <c r="R46" s="3"/>
      <c r="S46" s="2"/>
      <c r="T46" s="2"/>
    </row>
    <row r="47" spans="1:20" ht="15.75" hidden="1" x14ac:dyDescent="0.3">
      <c r="A47" s="44" t="s">
        <v>20</v>
      </c>
      <c r="B47" s="33" t="e">
        <f>B46^3</f>
        <v>#REF!</v>
      </c>
      <c r="C47" s="33"/>
      <c r="D47" s="33"/>
      <c r="E47" s="33"/>
      <c r="F47" s="33"/>
      <c r="G47" s="33"/>
      <c r="H47" s="3"/>
      <c r="I47" s="3"/>
      <c r="J47" s="3"/>
      <c r="K47" s="3"/>
      <c r="L47" s="3" t="s">
        <v>19</v>
      </c>
      <c r="M47" s="8" t="e">
        <f>B21*G46^3+B22*G46^2+B23*G46+B24</f>
        <v>#REF!</v>
      </c>
      <c r="N47" s="3"/>
      <c r="O47" s="3"/>
      <c r="P47" s="3"/>
      <c r="Q47" s="3"/>
      <c r="R47" s="3"/>
      <c r="S47" s="2"/>
      <c r="T47" s="2"/>
    </row>
    <row r="48" spans="1:20" ht="14.25" hidden="1" x14ac:dyDescent="0.2">
      <c r="A48" s="33" t="s">
        <v>18</v>
      </c>
      <c r="B48" s="33" t="e">
        <f>SQRT(B47)</f>
        <v>#REF!</v>
      </c>
      <c r="C48" s="33"/>
      <c r="D48" s="35" t="s">
        <v>17</v>
      </c>
      <c r="E48" s="35"/>
      <c r="F48" s="35"/>
      <c r="G48" s="35"/>
      <c r="H48" s="7"/>
      <c r="I48" s="7"/>
      <c r="J48" s="7"/>
      <c r="K48" s="3"/>
      <c r="L48" s="3"/>
      <c r="M48" s="3"/>
      <c r="N48" s="3"/>
      <c r="O48" s="3"/>
      <c r="P48" s="3"/>
      <c r="Q48" s="3"/>
      <c r="R48" s="3"/>
      <c r="S48" s="2"/>
      <c r="T48" s="2"/>
    </row>
    <row r="49" spans="1:20" hidden="1" x14ac:dyDescent="0.2">
      <c r="A49" s="45" t="s">
        <v>16</v>
      </c>
      <c r="B49" s="46" t="e">
        <f>ACOS(-B45/B48)</f>
        <v>#REF!</v>
      </c>
      <c r="C49" s="33"/>
      <c r="D49" s="33" t="s">
        <v>15</v>
      </c>
      <c r="E49" s="33"/>
      <c r="F49" s="33"/>
      <c r="G49" s="33" t="s">
        <v>14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2"/>
      <c r="T49" s="2"/>
    </row>
    <row r="50" spans="1:20" ht="15.75" hidden="1" x14ac:dyDescent="0.3">
      <c r="A50" s="33" t="s">
        <v>13</v>
      </c>
      <c r="B50" s="33">
        <f>RADIANS(60)</f>
        <v>1.0471975511965976</v>
      </c>
      <c r="C50" s="33"/>
      <c r="D50" s="34" t="s">
        <v>12</v>
      </c>
      <c r="E50" s="33" t="e">
        <f>IF(G44&gt;0,"+","-")</f>
        <v>#REF!</v>
      </c>
      <c r="F50" s="33"/>
      <c r="G50" s="34" t="s">
        <v>11</v>
      </c>
      <c r="H50" s="3" t="e">
        <f>FIXED(ABS(G44),$C$92,TRUE)</f>
        <v>#REF!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2"/>
      <c r="T50" s="2"/>
    </row>
    <row r="51" spans="1:20" ht="15.75" hidden="1" x14ac:dyDescent="0.3">
      <c r="A51" s="47" t="s">
        <v>10</v>
      </c>
      <c r="B51" s="33" t="e">
        <f>B49/3</f>
        <v>#REF!</v>
      </c>
      <c r="C51" s="33"/>
      <c r="D51" s="34" t="s">
        <v>9</v>
      </c>
      <c r="E51" s="33" t="e">
        <f>IF(G45&gt;0,"+","-")</f>
        <v>#REF!</v>
      </c>
      <c r="F51" s="33"/>
      <c r="G51" s="34" t="s">
        <v>8</v>
      </c>
      <c r="H51" s="3" t="e">
        <f>FIXED(ABS(G45),$C$92,TRUE)</f>
        <v>#REF!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2"/>
      <c r="T51" s="2"/>
    </row>
    <row r="52" spans="1:20" ht="15.75" hidden="1" x14ac:dyDescent="0.3">
      <c r="A52" s="45" t="s">
        <v>7</v>
      </c>
      <c r="B52" s="44" t="e">
        <f>(B49/3)-B50</f>
        <v>#REF!</v>
      </c>
      <c r="C52" s="33"/>
      <c r="D52" s="34" t="s">
        <v>6</v>
      </c>
      <c r="E52" s="33" t="e">
        <f>IF(G46&gt;0,"+","-")</f>
        <v>#REF!</v>
      </c>
      <c r="F52" s="33"/>
      <c r="G52" s="34" t="s">
        <v>5</v>
      </c>
      <c r="H52" s="3" t="e">
        <f>FIXED(ABS(G46),$C$92,TRUE)</f>
        <v>#REF!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2"/>
      <c r="T52" s="2"/>
    </row>
    <row r="53" spans="1:20" ht="14.25" hidden="1" x14ac:dyDescent="0.2">
      <c r="A53" s="45" t="s">
        <v>4</v>
      </c>
      <c r="B53" s="44" t="e">
        <f>(B49/3)+B50</f>
        <v>#REF!</v>
      </c>
      <c r="C53" s="33"/>
      <c r="D53" s="33"/>
      <c r="E53" s="33"/>
      <c r="F53" s="33"/>
      <c r="G53" s="3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2"/>
      <c r="T53" s="2"/>
    </row>
    <row r="54" spans="1:20" hidden="1" x14ac:dyDescent="0.2">
      <c r="A54" s="33"/>
      <c r="B54" s="33"/>
      <c r="C54" s="33"/>
      <c r="D54" s="31" t="s">
        <v>3</v>
      </c>
      <c r="E54" s="33"/>
      <c r="F54" s="33"/>
      <c r="G54" s="3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  <c r="T54" s="2"/>
    </row>
    <row r="55" spans="1:20" ht="15.75" hidden="1" x14ac:dyDescent="0.3">
      <c r="A55" s="33"/>
      <c r="B55" s="33"/>
      <c r="C55" s="33"/>
      <c r="D55" s="34" t="s">
        <v>2</v>
      </c>
      <c r="E55" s="34" t="e">
        <f>E50&amp;H50</f>
        <v>#REF!</v>
      </c>
      <c r="F55" s="33"/>
      <c r="G55" s="3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2"/>
      <c r="T55" s="2"/>
    </row>
    <row r="56" spans="1:20" ht="15.75" hidden="1" x14ac:dyDescent="0.3">
      <c r="A56" s="33"/>
      <c r="B56" s="33"/>
      <c r="C56" s="33"/>
      <c r="D56" s="34" t="s">
        <v>1</v>
      </c>
      <c r="E56" s="34" t="e">
        <f>E51&amp;H51</f>
        <v>#REF!</v>
      </c>
      <c r="F56" s="33"/>
      <c r="G56" s="3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  <c r="T56" s="2"/>
    </row>
    <row r="57" spans="1:20" ht="15.75" hidden="1" x14ac:dyDescent="0.3">
      <c r="A57" s="33"/>
      <c r="B57" s="33"/>
      <c r="C57" s="33"/>
      <c r="D57" s="34" t="s">
        <v>0</v>
      </c>
      <c r="E57" s="34" t="e">
        <f>E52&amp;H52</f>
        <v>#REF!</v>
      </c>
      <c r="F57" s="33"/>
      <c r="G57" s="3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  <c r="T57" s="2"/>
    </row>
    <row r="58" spans="1:20" hidden="1" x14ac:dyDescent="0.2"/>
    <row r="59" spans="1:20" hidden="1" x14ac:dyDescent="0.2">
      <c r="A59" s="28"/>
      <c r="B59" s="28"/>
      <c r="C59" s="28"/>
      <c r="D59" s="28"/>
      <c r="E59" s="28"/>
      <c r="F59" s="28"/>
      <c r="G59" s="28"/>
    </row>
    <row r="60" spans="1:20" hidden="1" x14ac:dyDescent="0.2">
      <c r="A60" s="28"/>
      <c r="B60" s="28"/>
      <c r="C60" s="28"/>
      <c r="D60" s="28"/>
      <c r="E60" s="28"/>
      <c r="F60" s="28"/>
      <c r="G60" s="28"/>
    </row>
    <row r="61" spans="1:20" hidden="1" x14ac:dyDescent="0.2">
      <c r="A61" s="28"/>
      <c r="B61" s="28"/>
      <c r="C61" s="28"/>
      <c r="D61" s="28"/>
      <c r="E61" s="28"/>
      <c r="F61" s="28"/>
      <c r="G61" s="28"/>
    </row>
    <row r="62" spans="1:20" hidden="1" x14ac:dyDescent="0.2">
      <c r="A62" s="28"/>
      <c r="B62" s="28"/>
      <c r="C62" s="28"/>
      <c r="D62" s="28"/>
      <c r="E62" s="28"/>
      <c r="F62" s="28"/>
      <c r="G62" s="28"/>
    </row>
    <row r="63" spans="1:20" hidden="1" x14ac:dyDescent="0.2">
      <c r="A63" s="28"/>
      <c r="B63" s="28"/>
      <c r="C63" s="28"/>
      <c r="D63" s="28"/>
      <c r="E63" s="28"/>
      <c r="F63" s="28"/>
      <c r="G63" s="28"/>
    </row>
    <row r="64" spans="1:20" hidden="1" x14ac:dyDescent="0.2">
      <c r="A64" s="28"/>
      <c r="B64" s="28"/>
      <c r="C64" s="28"/>
      <c r="D64" s="28"/>
      <c r="E64" s="28"/>
      <c r="F64" s="28"/>
      <c r="G64" s="28"/>
    </row>
    <row r="65" spans="1:7" hidden="1" x14ac:dyDescent="0.2">
      <c r="A65" s="28"/>
      <c r="B65" s="28"/>
      <c r="C65" s="28"/>
      <c r="D65" s="28"/>
      <c r="E65" s="28"/>
      <c r="F65" s="28"/>
      <c r="G65" s="28"/>
    </row>
    <row r="66" spans="1:7" hidden="1" x14ac:dyDescent="0.2">
      <c r="A66" s="28"/>
      <c r="B66" s="28"/>
      <c r="C66" s="28"/>
      <c r="D66" s="28"/>
      <c r="E66" s="28"/>
      <c r="F66" s="28"/>
      <c r="G66" s="28"/>
    </row>
    <row r="67" spans="1:7" hidden="1" x14ac:dyDescent="0.2">
      <c r="A67" s="28"/>
      <c r="B67" s="28"/>
      <c r="C67" s="28"/>
      <c r="D67" s="28"/>
      <c r="E67" s="28"/>
      <c r="F67" s="28"/>
      <c r="G67" s="28"/>
    </row>
    <row r="68" spans="1:7" hidden="1" x14ac:dyDescent="0.2">
      <c r="A68" s="28"/>
      <c r="B68" s="28"/>
      <c r="C68" s="28"/>
      <c r="D68" s="28"/>
      <c r="E68" s="28"/>
      <c r="F68" s="28"/>
      <c r="G68" s="28"/>
    </row>
    <row r="69" spans="1:7" hidden="1" x14ac:dyDescent="0.2">
      <c r="A69" s="28"/>
      <c r="B69" s="28"/>
      <c r="C69" s="28"/>
      <c r="D69" s="28"/>
      <c r="E69" s="28"/>
      <c r="F69" s="28"/>
      <c r="G69" s="28"/>
    </row>
    <row r="70" spans="1:7" hidden="1" x14ac:dyDescent="0.2">
      <c r="A70" s="28"/>
      <c r="B70" s="28"/>
      <c r="C70" s="28"/>
      <c r="D70" s="28"/>
      <c r="E70" s="28"/>
      <c r="F70" s="28"/>
      <c r="G70" s="28"/>
    </row>
    <row r="71" spans="1:7" hidden="1" x14ac:dyDescent="0.2">
      <c r="A71" s="28"/>
      <c r="B71" s="28"/>
      <c r="C71" s="28"/>
      <c r="D71" s="28"/>
      <c r="E71" s="28"/>
      <c r="F71" s="28"/>
      <c r="G71" s="28"/>
    </row>
    <row r="72" spans="1:7" hidden="1" x14ac:dyDescent="0.2">
      <c r="A72" s="28"/>
      <c r="B72" s="28"/>
      <c r="C72" s="28"/>
      <c r="D72" s="28"/>
      <c r="E72" s="28"/>
      <c r="F72" s="28"/>
      <c r="G72" s="28"/>
    </row>
    <row r="73" spans="1:7" hidden="1" x14ac:dyDescent="0.2">
      <c r="A73" s="28"/>
      <c r="B73" s="28"/>
      <c r="C73" s="28"/>
      <c r="D73" s="28"/>
      <c r="E73" s="28"/>
      <c r="F73" s="28"/>
      <c r="G73" s="28"/>
    </row>
    <row r="74" spans="1:7" hidden="1" x14ac:dyDescent="0.2">
      <c r="A74" s="28"/>
      <c r="B74" s="28"/>
      <c r="C74" s="28"/>
      <c r="D74" s="28"/>
      <c r="E74" s="28"/>
      <c r="F74" s="28"/>
      <c r="G74" s="28"/>
    </row>
    <row r="75" spans="1:7" hidden="1" x14ac:dyDescent="0.2">
      <c r="A75" s="28"/>
      <c r="B75" s="28"/>
      <c r="C75" s="28"/>
      <c r="D75" s="28"/>
      <c r="E75" s="28"/>
      <c r="F75" s="28"/>
      <c r="G75" s="28"/>
    </row>
    <row r="76" spans="1:7" hidden="1" x14ac:dyDescent="0.2">
      <c r="A76" s="28"/>
      <c r="B76" s="28"/>
      <c r="C76" s="28"/>
      <c r="D76" s="28"/>
      <c r="E76" s="28"/>
      <c r="F76" s="28"/>
      <c r="G76" s="28"/>
    </row>
    <row r="77" spans="1:7" hidden="1" x14ac:dyDescent="0.2">
      <c r="A77" s="28"/>
      <c r="B77" s="28"/>
      <c r="C77" s="28"/>
      <c r="D77" s="28"/>
      <c r="E77" s="28"/>
      <c r="F77" s="28"/>
      <c r="G77" s="28"/>
    </row>
    <row r="78" spans="1:7" hidden="1" x14ac:dyDescent="0.2">
      <c r="A78" s="28"/>
      <c r="B78" s="28"/>
      <c r="C78" s="28"/>
      <c r="D78" s="28"/>
      <c r="E78" s="28"/>
      <c r="F78" s="28"/>
      <c r="G78" s="28"/>
    </row>
    <row r="79" spans="1:7" hidden="1" x14ac:dyDescent="0.2">
      <c r="A79" s="28"/>
      <c r="B79" s="28"/>
      <c r="C79" s="28"/>
      <c r="D79" s="28"/>
      <c r="E79" s="28"/>
      <c r="F79" s="28"/>
      <c r="G79" s="28"/>
    </row>
    <row r="80" spans="1:7" hidden="1" x14ac:dyDescent="0.2">
      <c r="A80" s="28"/>
      <c r="B80" s="28"/>
      <c r="C80" s="28"/>
      <c r="D80" s="28"/>
      <c r="E80" s="28"/>
      <c r="F80" s="28"/>
      <c r="G80" s="28"/>
    </row>
    <row r="81" spans="1:8" hidden="1" x14ac:dyDescent="0.2">
      <c r="A81" s="28"/>
      <c r="B81" s="28"/>
      <c r="C81" s="28"/>
      <c r="D81" s="28"/>
      <c r="E81" s="28"/>
      <c r="F81" s="28"/>
      <c r="G81" s="28"/>
    </row>
    <row r="82" spans="1:8" hidden="1" x14ac:dyDescent="0.2">
      <c r="A82" s="28"/>
      <c r="B82" s="28"/>
      <c r="C82" s="28"/>
      <c r="D82" s="28"/>
      <c r="E82" s="28"/>
      <c r="F82" s="28"/>
      <c r="G82" s="28"/>
    </row>
    <row r="83" spans="1:8" hidden="1" x14ac:dyDescent="0.2">
      <c r="A83" s="28"/>
      <c r="B83" s="28"/>
      <c r="C83" s="28"/>
      <c r="D83" s="28"/>
      <c r="E83" s="28"/>
      <c r="F83" s="28"/>
      <c r="G83" s="28"/>
    </row>
    <row r="85" spans="1:8" x14ac:dyDescent="0.2">
      <c r="A85" s="28"/>
      <c r="B85" s="28"/>
      <c r="C85" s="28"/>
      <c r="D85" s="28"/>
      <c r="E85" s="28"/>
      <c r="F85" s="28"/>
      <c r="G85" s="28"/>
    </row>
    <row r="86" spans="1:8" ht="16.5" customHeight="1" x14ac:dyDescent="0.25">
      <c r="A86" s="27"/>
      <c r="B86" s="27"/>
      <c r="C86" s="27"/>
      <c r="D86" s="27"/>
      <c r="E86" s="27"/>
      <c r="F86" s="27"/>
      <c r="G86" s="27"/>
      <c r="H86" s="29"/>
    </row>
    <row r="87" spans="1:8" x14ac:dyDescent="0.2">
      <c r="A87" s="96"/>
      <c r="B87" s="96"/>
      <c r="C87" s="96"/>
      <c r="D87" s="96"/>
      <c r="E87" s="96"/>
      <c r="F87" s="96"/>
      <c r="G87" s="96"/>
    </row>
    <row r="88" spans="1:8" x14ac:dyDescent="0.2">
      <c r="A88" s="71"/>
      <c r="B88" s="63" t="s">
        <v>110</v>
      </c>
      <c r="C88" s="63"/>
      <c r="D88" s="63"/>
      <c r="E88" s="63"/>
      <c r="F88" s="55"/>
      <c r="G88" s="2"/>
    </row>
    <row r="89" spans="1:8" x14ac:dyDescent="0.2">
      <c r="A89" s="71"/>
      <c r="G89" s="2"/>
    </row>
    <row r="90" spans="1:8" x14ac:dyDescent="0.2">
      <c r="A90" s="71"/>
      <c r="B90" s="92" t="s">
        <v>112</v>
      </c>
      <c r="C90" s="55"/>
      <c r="D90" s="55"/>
      <c r="E90" s="55"/>
      <c r="F90" s="55"/>
      <c r="G90" s="2"/>
    </row>
    <row r="91" spans="1:8" x14ac:dyDescent="0.2">
      <c r="A91" s="71"/>
      <c r="B91" s="72"/>
      <c r="C91" s="73"/>
      <c r="D91" s="71"/>
      <c r="E91" s="71"/>
      <c r="F91" s="71"/>
      <c r="G91" s="2"/>
    </row>
    <row r="92" spans="1:8" x14ac:dyDescent="0.2">
      <c r="A92" s="70"/>
      <c r="B92" s="74"/>
      <c r="C92" s="75"/>
      <c r="D92" s="70"/>
      <c r="E92" s="71"/>
      <c r="F92" s="70"/>
    </row>
    <row r="93" spans="1:8" x14ac:dyDescent="0.2">
      <c r="A93" s="70"/>
      <c r="B93" s="70"/>
      <c r="C93" s="70"/>
      <c r="D93" s="71"/>
      <c r="E93" s="71"/>
      <c r="F93" s="71"/>
      <c r="G93" s="2"/>
    </row>
    <row r="94" spans="1:8" x14ac:dyDescent="0.2">
      <c r="A94" s="76"/>
      <c r="B94" s="70"/>
      <c r="C94" s="77"/>
      <c r="D94" s="78"/>
      <c r="E94" s="71"/>
      <c r="F94" s="71"/>
      <c r="G94" s="2"/>
    </row>
    <row r="95" spans="1:8" ht="15" x14ac:dyDescent="0.25">
      <c r="A95" s="76"/>
      <c r="B95" s="79"/>
      <c r="C95" s="80"/>
      <c r="D95" s="78"/>
      <c r="E95" s="71"/>
      <c r="F95" s="71"/>
      <c r="G95" s="2"/>
    </row>
    <row r="96" spans="1:8" ht="15" x14ac:dyDescent="0.25">
      <c r="A96" s="76"/>
      <c r="B96" s="79"/>
      <c r="C96" s="80"/>
      <c r="D96" s="78"/>
      <c r="E96" s="71"/>
      <c r="F96" s="71"/>
      <c r="G96" s="2"/>
    </row>
    <row r="97" spans="1:7" ht="15" x14ac:dyDescent="0.25">
      <c r="A97" s="76"/>
      <c r="B97" s="79"/>
      <c r="C97" s="80"/>
      <c r="D97" s="78"/>
      <c r="E97" s="71"/>
      <c r="F97" s="71"/>
      <c r="G97" s="2"/>
    </row>
    <row r="98" spans="1:7" x14ac:dyDescent="0.2">
      <c r="A98" s="71"/>
      <c r="B98" s="71"/>
      <c r="C98" s="71"/>
      <c r="D98" s="71"/>
      <c r="E98" s="71"/>
      <c r="F98" s="71"/>
      <c r="G98" s="2"/>
    </row>
    <row r="99" spans="1:7" x14ac:dyDescent="0.2">
      <c r="A99" s="71"/>
      <c r="B99" s="81"/>
      <c r="C99" s="71"/>
      <c r="D99" s="71"/>
      <c r="E99" s="71"/>
      <c r="F99" s="71"/>
      <c r="G99" s="2"/>
    </row>
    <row r="100" spans="1:7" ht="15" x14ac:dyDescent="0.25">
      <c r="A100" s="70"/>
      <c r="B100" s="79"/>
      <c r="C100" s="95"/>
      <c r="D100" s="96"/>
      <c r="E100" s="96"/>
      <c r="F100" s="96"/>
      <c r="G100" s="2"/>
    </row>
    <row r="101" spans="1:7" ht="15" x14ac:dyDescent="0.25">
      <c r="A101" s="71"/>
      <c r="B101" s="79"/>
      <c r="C101" s="96"/>
      <c r="D101" s="96"/>
      <c r="E101" s="96"/>
      <c r="F101" s="96"/>
      <c r="G101" s="2"/>
    </row>
    <row r="102" spans="1:7" ht="15" x14ac:dyDescent="0.25">
      <c r="A102" s="71"/>
      <c r="B102" s="79"/>
      <c r="C102" s="96"/>
      <c r="D102" s="96"/>
      <c r="E102" s="96"/>
      <c r="F102" s="96"/>
      <c r="G102" s="2"/>
    </row>
    <row r="103" spans="1:7" x14ac:dyDescent="0.2">
      <c r="A103" s="2"/>
      <c r="B103" s="2"/>
      <c r="C103" s="2"/>
      <c r="D103" s="2"/>
      <c r="E103" s="2"/>
      <c r="F103" s="2"/>
      <c r="G103" s="2"/>
    </row>
  </sheetData>
  <sheetProtection algorithmName="SHA-512" hashValue="dEnRI5VCc2pVaLnIS0VIbi2ers97mj/4ivVeKQSvb+yUvSmX3Y2opHVOqYR/mxa7SgFf/RbVBRpOCSCp7ilo1A==" saltValue="r8Uyyti3R2Z06U44R06oZw==" spinCount="100000" sheet="1" objects="1" selectLockedCells="1"/>
  <mergeCells count="4">
    <mergeCell ref="C100:F100"/>
    <mergeCell ref="C101:F101"/>
    <mergeCell ref="C102:F102"/>
    <mergeCell ref="A87:G87"/>
  </mergeCells>
  <pageMargins left="0.75" right="0.75" top="1" bottom="1" header="0.5" footer="0.5"/>
  <pageSetup paperSize="9" orientation="portrait" horizontalDpi="150" verticalDpi="150" r:id="rId1"/>
  <headerFooter alignWithMargins="0"/>
  <customProperties>
    <customPr name="SSC_SHEET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698C2-8D42-4F35-AB82-E3282C8F4CCF}">
  <sheetPr codeName="Sheet3"/>
  <dimension ref="A1:T108"/>
  <sheetViews>
    <sheetView showGridLines="0" workbookViewId="0">
      <selection activeCell="C93" sqref="C93"/>
    </sheetView>
  </sheetViews>
  <sheetFormatPr baseColWidth="10" defaultColWidth="0" defaultRowHeight="12.75" x14ac:dyDescent="0.2"/>
  <cols>
    <col min="1" max="1" width="10.42578125" style="1" customWidth="1"/>
    <col min="2" max="2" width="10.5703125" style="1" customWidth="1"/>
    <col min="3" max="3" width="13" style="1" customWidth="1"/>
    <col min="4" max="4" width="14" style="1" customWidth="1"/>
    <col min="5" max="5" width="8.7109375" style="1" customWidth="1"/>
    <col min="6" max="6" width="6.5703125" style="1" customWidth="1"/>
    <col min="7" max="7" width="27.7109375" style="1" customWidth="1"/>
    <col min="8" max="16384" width="9.140625" style="1" hidden="1"/>
  </cols>
  <sheetData>
    <row r="1" spans="1:20" ht="18" x14ac:dyDescent="0.25">
      <c r="A1" s="49" t="s">
        <v>98</v>
      </c>
      <c r="B1" s="49"/>
      <c r="C1" s="49"/>
      <c r="D1" s="49"/>
      <c r="E1" s="49"/>
      <c r="F1" s="50"/>
      <c r="G1" s="48"/>
      <c r="H1" s="26"/>
      <c r="I1" s="26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30" t="s">
        <v>84</v>
      </c>
      <c r="B2" s="30"/>
      <c r="C2" s="30"/>
      <c r="D2" s="30"/>
      <c r="E2" s="56"/>
      <c r="H2" s="2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A3" s="51" t="s">
        <v>94</v>
      </c>
      <c r="C3" s="85">
        <v>126.15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">
      <c r="A4" s="53" t="s">
        <v>115</v>
      </c>
      <c r="B4" s="53"/>
      <c r="C4" s="82">
        <v>2</v>
      </c>
      <c r="E4" s="51" t="s">
        <v>106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A5" s="53" t="s">
        <v>95</v>
      </c>
      <c r="B5" s="53"/>
      <c r="C5" s="93">
        <v>33.5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53" t="s">
        <v>96</v>
      </c>
      <c r="B6" s="53"/>
      <c r="C6" s="93">
        <v>0.45750000000000002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 x14ac:dyDescent="0.2">
      <c r="A7" s="53" t="s">
        <v>93</v>
      </c>
      <c r="B7" s="53"/>
      <c r="C7" s="83">
        <f>0.4278*((C9^2)*(C3)^2.5)/C5</f>
        <v>15.347647471728642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">
      <c r="A8" s="53" t="s">
        <v>86</v>
      </c>
      <c r="B8" s="53"/>
      <c r="C8" s="83">
        <f>0.0867*((C9)*(C3))/C5</f>
        <v>2.6771665970149253E-2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">
      <c r="A9" s="51" t="s">
        <v>87</v>
      </c>
      <c r="C9" s="84">
        <v>8.2000000000000003E-2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"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4.25" x14ac:dyDescent="0.2">
      <c r="A11" s="57" t="s">
        <v>92</v>
      </c>
      <c r="B11" s="57" t="s">
        <v>91</v>
      </c>
      <c r="C11" s="52" t="s">
        <v>90</v>
      </c>
      <c r="D11" s="52" t="s">
        <v>88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">
      <c r="A12" s="87">
        <f>1</f>
        <v>1</v>
      </c>
      <c r="B12" s="87">
        <f>-((2*C6*(C4-C8))/(C9))</f>
        <v>-22.018340556552602</v>
      </c>
      <c r="C12" s="87">
        <f>((((C4-C8)^2)*((C6)^2))/(C9)^2)</f>
        <v>121.20183021608229</v>
      </c>
      <c r="D12" s="87">
        <f>-(((C7)^2)*(C4-C8)^2)/(((C9)^2)*((C4^2)+(C4*C8))^2)</f>
        <v>-8301.2017984071153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"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">
      <c r="A14" s="51" t="s">
        <v>97</v>
      </c>
      <c r="B14" s="91">
        <f>(C4*C6)/(C9)</f>
        <v>11.158536585365853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">
      <c r="A15" s="51" t="s">
        <v>131</v>
      </c>
      <c r="B15" s="91">
        <f>C96</f>
        <v>28.174203919873218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idden="1" x14ac:dyDescent="0.2"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idden="1" x14ac:dyDescent="0.2"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idden="1" x14ac:dyDescent="0.2"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idden="1" x14ac:dyDescent="0.2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idden="1" x14ac:dyDescent="0.2">
      <c r="A20" s="2"/>
      <c r="B20" s="2"/>
      <c r="C20" s="2"/>
      <c r="D20" s="2"/>
      <c r="E20" s="2"/>
      <c r="F20" s="2"/>
      <c r="G20" s="2"/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idden="1" x14ac:dyDescent="0.2">
      <c r="A21" s="31" t="s">
        <v>78</v>
      </c>
      <c r="B21" s="32"/>
      <c r="C21" s="32"/>
      <c r="D21" s="32"/>
      <c r="E21" s="33"/>
      <c r="F21" s="33"/>
      <c r="G21" s="3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  <c r="T21" s="2"/>
    </row>
    <row r="22" spans="1:20" hidden="1" x14ac:dyDescent="0.2">
      <c r="A22" s="34" t="s">
        <v>77</v>
      </c>
      <c r="B22" s="33">
        <f>C89</f>
        <v>1</v>
      </c>
      <c r="C22" s="33"/>
      <c r="D22" s="33"/>
      <c r="E22" s="33"/>
      <c r="F22" s="33"/>
      <c r="G22" s="3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"/>
      <c r="T22" s="2"/>
    </row>
    <row r="23" spans="1:20" hidden="1" x14ac:dyDescent="0.2">
      <c r="A23" s="34" t="s">
        <v>76</v>
      </c>
      <c r="B23" s="33">
        <f>C90</f>
        <v>-22.018340556552602</v>
      </c>
      <c r="C23" s="33"/>
      <c r="D23" s="33"/>
      <c r="E23" s="33"/>
      <c r="F23" s="33"/>
      <c r="G23" s="3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"/>
      <c r="T23" s="2"/>
    </row>
    <row r="24" spans="1:20" hidden="1" x14ac:dyDescent="0.2">
      <c r="A24" s="34" t="s">
        <v>75</v>
      </c>
      <c r="B24" s="33">
        <f>C91</f>
        <v>121.20183021608229</v>
      </c>
      <c r="C24" s="33"/>
      <c r="D24" s="33"/>
      <c r="E24" s="33"/>
      <c r="F24" s="33"/>
      <c r="G24" s="3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  <c r="T24" s="2"/>
    </row>
    <row r="25" spans="1:20" hidden="1" x14ac:dyDescent="0.2">
      <c r="A25" s="34" t="s">
        <v>56</v>
      </c>
      <c r="B25" s="33">
        <f>C92</f>
        <v>-8301.2017984071153</v>
      </c>
      <c r="C25" s="33"/>
      <c r="D25" s="33"/>
      <c r="E25" s="33"/>
      <c r="F25" s="33"/>
      <c r="G25" s="3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T25" s="2"/>
    </row>
    <row r="26" spans="1:20" hidden="1" x14ac:dyDescent="0.2">
      <c r="A26" s="35" t="s">
        <v>74</v>
      </c>
      <c r="B26" s="33"/>
      <c r="C26" s="33"/>
      <c r="D26" s="33"/>
      <c r="E26" s="33"/>
      <c r="F26" s="33"/>
      <c r="G26" s="3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2"/>
    </row>
    <row r="27" spans="1:20" hidden="1" x14ac:dyDescent="0.2">
      <c r="A27" s="33" t="s">
        <v>29</v>
      </c>
      <c r="B27" s="33"/>
      <c r="C27" s="33"/>
      <c r="D27" s="33"/>
      <c r="E27" s="33"/>
      <c r="F27" s="33"/>
      <c r="G27" s="3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  <c r="T27" s="2"/>
    </row>
    <row r="28" spans="1:20" hidden="1" x14ac:dyDescent="0.2">
      <c r="A28" s="34" t="s">
        <v>73</v>
      </c>
      <c r="B28" s="33">
        <f>+(B24/B22)-((B23^2)/(3*B22^2))</f>
        <v>-40.400610072027419</v>
      </c>
      <c r="C28" s="33"/>
      <c r="D28" s="33"/>
      <c r="E28" s="36" t="s">
        <v>54</v>
      </c>
      <c r="F28" s="36" t="s">
        <v>53</v>
      </c>
      <c r="G28" s="33"/>
      <c r="H28" s="15"/>
      <c r="I28" s="13" t="s">
        <v>54</v>
      </c>
      <c r="J28" s="13" t="s">
        <v>53</v>
      </c>
      <c r="K28" s="3"/>
      <c r="L28" s="5" t="s">
        <v>72</v>
      </c>
      <c r="M28" s="3"/>
      <c r="N28" s="3"/>
      <c r="O28" s="3"/>
      <c r="P28" s="3"/>
      <c r="Q28" s="3"/>
      <c r="R28" s="3"/>
      <c r="S28" s="2"/>
      <c r="T28" s="2"/>
    </row>
    <row r="29" spans="1:20" hidden="1" x14ac:dyDescent="0.2">
      <c r="A29" s="34" t="s">
        <v>71</v>
      </c>
      <c r="B29" s="33">
        <f>((2*B23^3)/(27*B22^3))-((B23*B24)/(3*B22^2))+(B25/B22)</f>
        <v>-8202.3624216006283</v>
      </c>
      <c r="C29" s="33"/>
      <c r="D29" s="34" t="s">
        <v>70</v>
      </c>
      <c r="E29" s="33">
        <f>B38</f>
        <v>20.834757067689019</v>
      </c>
      <c r="F29" s="33"/>
      <c r="G29" s="36" t="s">
        <v>64</v>
      </c>
      <c r="H29" s="4" t="s">
        <v>33</v>
      </c>
      <c r="I29" s="3">
        <f>E29-((B23)/(3*B22))</f>
        <v>28.174203919873218</v>
      </c>
      <c r="J29" s="3"/>
      <c r="K29" s="3"/>
      <c r="L29" s="3"/>
      <c r="M29" s="3"/>
      <c r="N29" s="3"/>
      <c r="O29" s="3"/>
      <c r="P29" s="3"/>
      <c r="Q29" s="3"/>
      <c r="R29" s="3"/>
      <c r="S29" s="2"/>
      <c r="T29" s="2"/>
    </row>
    <row r="30" spans="1:20" ht="15.75" hidden="1" x14ac:dyDescent="0.3">
      <c r="A30" s="34" t="s">
        <v>69</v>
      </c>
      <c r="B30" s="33">
        <f>B28/3</f>
        <v>-13.46687002400914</v>
      </c>
      <c r="C30" s="33"/>
      <c r="D30" s="34" t="s">
        <v>68</v>
      </c>
      <c r="E30" s="37">
        <f>-B39</f>
        <v>-10.417378533844509</v>
      </c>
      <c r="F30" s="33">
        <f>SQRT(3)*B40</f>
        <v>16.886820792564606</v>
      </c>
      <c r="G30" s="36" t="s">
        <v>64</v>
      </c>
      <c r="H30" s="4" t="s">
        <v>32</v>
      </c>
      <c r="I30" s="6">
        <f>E30-((B23)/(3*B22))</f>
        <v>-3.0779316816603091</v>
      </c>
      <c r="J30" s="3">
        <f>F30</f>
        <v>16.886820792564606</v>
      </c>
      <c r="K30" s="3"/>
      <c r="L30" s="3" t="s">
        <v>67</v>
      </c>
      <c r="M30" s="3">
        <f>I30^2-J30^2</f>
        <v>-275.69105304322409</v>
      </c>
      <c r="N30" s="3">
        <f>2*I30*J30</f>
        <v>-103.9529614399093</v>
      </c>
      <c r="O30" s="3"/>
      <c r="P30" s="3" t="s">
        <v>66</v>
      </c>
      <c r="Q30" s="3">
        <f>I30^3-3*I30*J30^2</f>
        <v>2603.9932572041594</v>
      </c>
      <c r="R30" s="3">
        <f>3*I30^2*J30-J30^3</f>
        <v>-4335.5852934360391</v>
      </c>
      <c r="S30" s="2"/>
      <c r="T30" s="2"/>
    </row>
    <row r="31" spans="1:20" ht="15.75" hidden="1" x14ac:dyDescent="0.3">
      <c r="A31" s="34" t="s">
        <v>26</v>
      </c>
      <c r="B31" s="33">
        <f>B29/2</f>
        <v>-4101.1812108003141</v>
      </c>
      <c r="C31" s="33"/>
      <c r="D31" s="34" t="s">
        <v>65</v>
      </c>
      <c r="E31" s="33">
        <f>-B39</f>
        <v>-10.417378533844509</v>
      </c>
      <c r="F31" s="33">
        <f>-SQRT(3)*B40</f>
        <v>-16.886820792564606</v>
      </c>
      <c r="G31" s="36" t="s">
        <v>64</v>
      </c>
      <c r="H31" s="4" t="s">
        <v>31</v>
      </c>
      <c r="I31" s="6">
        <f>E31-((B23)/(3*B22))</f>
        <v>-3.0779316816603091</v>
      </c>
      <c r="J31" s="3">
        <f>F31</f>
        <v>-16.886820792564606</v>
      </c>
      <c r="K31" s="3"/>
      <c r="L31" s="3" t="s">
        <v>63</v>
      </c>
      <c r="M31" s="3">
        <f>I31^2-J31^2</f>
        <v>-275.69105304322409</v>
      </c>
      <c r="N31" s="3">
        <f>2*I31*J31</f>
        <v>103.9529614399093</v>
      </c>
      <c r="O31" s="3"/>
      <c r="P31" s="3" t="s">
        <v>62</v>
      </c>
      <c r="Q31" s="3">
        <f>I31^3-3*I31*J31^2</f>
        <v>2603.9932572041594</v>
      </c>
      <c r="R31" s="3">
        <f>3*I31^2*J31-J31^3</f>
        <v>4335.5852934360391</v>
      </c>
      <c r="S31" s="2"/>
      <c r="T31" s="2"/>
    </row>
    <row r="32" spans="1:20" ht="14.25" hidden="1" x14ac:dyDescent="0.2">
      <c r="A32" s="34" t="s">
        <v>61</v>
      </c>
      <c r="B32" s="33">
        <f>B30^3</f>
        <v>-2442.3056018737116</v>
      </c>
      <c r="C32" s="33"/>
      <c r="D32" s="33"/>
      <c r="E32" s="33"/>
      <c r="F32" s="33"/>
      <c r="G32" s="33"/>
      <c r="H32" s="3"/>
      <c r="I32" s="3"/>
      <c r="J32" s="3"/>
      <c r="K32" s="3"/>
      <c r="L32" s="5" t="s">
        <v>60</v>
      </c>
      <c r="M32" s="3"/>
      <c r="N32" s="3"/>
      <c r="O32" s="3"/>
      <c r="P32" s="3"/>
      <c r="Q32" s="3"/>
      <c r="R32" s="3"/>
      <c r="S32" s="2"/>
      <c r="T32" s="2"/>
    </row>
    <row r="33" spans="1:20" ht="15" hidden="1" x14ac:dyDescent="0.25">
      <c r="A33" s="34" t="s">
        <v>59</v>
      </c>
      <c r="B33" s="33">
        <f>B31^2</f>
        <v>16819687.32382153</v>
      </c>
      <c r="C33" s="33"/>
      <c r="D33" s="35" t="s">
        <v>58</v>
      </c>
      <c r="E33" s="38"/>
      <c r="F33" s="38"/>
      <c r="G33" s="38"/>
      <c r="H33" s="14"/>
      <c r="I33" s="14"/>
      <c r="J33" s="14"/>
      <c r="K33" s="3"/>
      <c r="L33" s="12" t="s">
        <v>57</v>
      </c>
      <c r="M33" s="5">
        <f>B22*I29^3+B23*I29^2+B24*I29+B25</f>
        <v>-1.4370016288012266E-10</v>
      </c>
      <c r="N33" s="3"/>
      <c r="O33" s="3"/>
      <c r="P33" s="3"/>
      <c r="Q33" s="3"/>
      <c r="R33" s="3"/>
      <c r="S33" s="2"/>
      <c r="T33" s="2"/>
    </row>
    <row r="34" spans="1:20" ht="15.75" hidden="1" x14ac:dyDescent="0.3">
      <c r="A34" s="34" t="s">
        <v>56</v>
      </c>
      <c r="B34" s="33">
        <f>B32+B33</f>
        <v>16817245.018219657</v>
      </c>
      <c r="C34" s="33"/>
      <c r="D34" s="33" t="s">
        <v>55</v>
      </c>
      <c r="E34" s="36" t="s">
        <v>54</v>
      </c>
      <c r="F34" s="36" t="s">
        <v>53</v>
      </c>
      <c r="G34" s="33"/>
      <c r="H34" s="3" t="s">
        <v>14</v>
      </c>
      <c r="I34" s="13" t="s">
        <v>54</v>
      </c>
      <c r="J34" s="13" t="s">
        <v>53</v>
      </c>
      <c r="K34" s="3"/>
      <c r="L34" s="3" t="s">
        <v>52</v>
      </c>
      <c r="M34" s="3">
        <f>B22*Q30</f>
        <v>2603.9932572041594</v>
      </c>
      <c r="N34" s="3">
        <f>B22*R30</f>
        <v>-4335.5852934360391</v>
      </c>
      <c r="O34" s="3"/>
      <c r="P34" s="3" t="s">
        <v>51</v>
      </c>
      <c r="Q34" s="3">
        <f>B22*Q31</f>
        <v>2603.9932572041594</v>
      </c>
      <c r="R34" s="3">
        <f>B22*R31</f>
        <v>4335.5852934360391</v>
      </c>
      <c r="S34" s="2"/>
      <c r="T34" s="2"/>
    </row>
    <row r="35" spans="1:20" ht="15.75" hidden="1" x14ac:dyDescent="0.3">
      <c r="A35" s="34" t="s">
        <v>50</v>
      </c>
      <c r="B35" s="33">
        <f>SQRT(B34)</f>
        <v>4100.8834436276848</v>
      </c>
      <c r="C35" s="33"/>
      <c r="D35" s="34" t="s">
        <v>49</v>
      </c>
      <c r="E35" s="36" t="str">
        <f>IF(I29&gt;0,"+","-")</f>
        <v>+</v>
      </c>
      <c r="F35" s="36"/>
      <c r="G35" s="33"/>
      <c r="H35" s="4" t="s">
        <v>49</v>
      </c>
      <c r="I35" s="3" t="str">
        <f>FIXED(ABS(I29),C93,TRUE)</f>
        <v>28.1742</v>
      </c>
      <c r="J35" s="3"/>
      <c r="K35" s="3"/>
      <c r="L35" s="3" t="s">
        <v>48</v>
      </c>
      <c r="M35" s="3">
        <f>B23*M30</f>
        <v>6070.2594943003151</v>
      </c>
      <c r="N35" s="3">
        <f>B23*N30</f>
        <v>2288.8717068461037</v>
      </c>
      <c r="O35" s="3"/>
      <c r="P35" s="3" t="s">
        <v>47</v>
      </c>
      <c r="Q35" s="3">
        <f>B23*M31</f>
        <v>6070.2594943003151</v>
      </c>
      <c r="R35" s="3">
        <f>B23*N31</f>
        <v>-2288.8717068461037</v>
      </c>
      <c r="S35" s="2"/>
      <c r="T35" s="2"/>
    </row>
    <row r="36" spans="1:20" ht="15.75" hidden="1" x14ac:dyDescent="0.3">
      <c r="A36" s="34" t="s">
        <v>46</v>
      </c>
      <c r="B36" s="33">
        <f>(-B31+B35)^(1/3)</f>
        <v>20.166989064188655</v>
      </c>
      <c r="C36" s="33"/>
      <c r="D36" s="34" t="s">
        <v>45</v>
      </c>
      <c r="E36" s="36" t="str">
        <f>IF(I30&gt;0,"+","-")</f>
        <v>-</v>
      </c>
      <c r="F36" s="36" t="str">
        <f>IF(J30&gt;0,"+","-")</f>
        <v>+</v>
      </c>
      <c r="G36" s="33"/>
      <c r="H36" s="4" t="s">
        <v>45</v>
      </c>
      <c r="I36" s="3" t="str">
        <f>FIXED(ABS(I30),C93,TRUE)</f>
        <v>3.0779</v>
      </c>
      <c r="J36" s="3" t="str">
        <f>FIXED(ABS(J30),C93,TRUE)</f>
        <v>16.8868</v>
      </c>
      <c r="K36" s="3"/>
      <c r="L36" s="3" t="s">
        <v>44</v>
      </c>
      <c r="M36" s="3">
        <f>B24*I30</f>
        <v>-373.05095309729342</v>
      </c>
      <c r="N36" s="3">
        <f>B24*J30</f>
        <v>2046.7135865898235</v>
      </c>
      <c r="O36" s="3"/>
      <c r="P36" s="3" t="s">
        <v>43</v>
      </c>
      <c r="Q36" s="3">
        <f>B24*I31</f>
        <v>-373.05095309729342</v>
      </c>
      <c r="R36" s="3">
        <f>B24*J31</f>
        <v>-2046.7135865898235</v>
      </c>
      <c r="S36" s="2"/>
      <c r="T36" s="2"/>
    </row>
    <row r="37" spans="1:20" hidden="1" x14ac:dyDescent="0.2">
      <c r="A37" s="34" t="s">
        <v>42</v>
      </c>
      <c r="B37" s="33">
        <f>(-B31-B35)^(1/3)</f>
        <v>0.66776800350036269</v>
      </c>
      <c r="C37" s="33"/>
      <c r="D37" s="34" t="s">
        <v>41</v>
      </c>
      <c r="E37" s="36" t="str">
        <f>IF(I31&gt;0,"+","-")</f>
        <v>-</v>
      </c>
      <c r="F37" s="36" t="str">
        <f>IF(J31&gt;0,"+","-")</f>
        <v>-</v>
      </c>
      <c r="G37" s="33"/>
      <c r="H37" s="4" t="s">
        <v>41</v>
      </c>
      <c r="I37" s="3" t="str">
        <f>FIXED(ABS(I31),C93,TRUE)</f>
        <v>3.0779</v>
      </c>
      <c r="J37" s="3" t="str">
        <f>FIXED(ABS(J31),C93,TRUE)</f>
        <v>16.8868</v>
      </c>
      <c r="K37" s="3"/>
      <c r="L37" s="3" t="s">
        <v>40</v>
      </c>
      <c r="M37" s="3">
        <f>B25</f>
        <v>-8301.2017984071153</v>
      </c>
      <c r="N37" s="3"/>
      <c r="O37" s="3"/>
      <c r="P37" s="3" t="s">
        <v>40</v>
      </c>
      <c r="Q37" s="3">
        <f>B25</f>
        <v>-8301.2017984071153</v>
      </c>
      <c r="R37" s="3"/>
      <c r="S37" s="2"/>
      <c r="T37" s="2"/>
    </row>
    <row r="38" spans="1:20" ht="14.25" hidden="1" x14ac:dyDescent="0.25">
      <c r="A38" s="34" t="s">
        <v>39</v>
      </c>
      <c r="B38" s="33">
        <f>B36+B37</f>
        <v>20.834757067689019</v>
      </c>
      <c r="C38" s="33"/>
      <c r="D38" s="33"/>
      <c r="E38" s="33"/>
      <c r="F38" s="33"/>
      <c r="G38" s="33"/>
      <c r="H38" s="3"/>
      <c r="I38" s="3"/>
      <c r="J38" s="3"/>
      <c r="K38" s="3"/>
      <c r="L38" s="12" t="s">
        <v>38</v>
      </c>
      <c r="M38" s="5">
        <f>SUM(M34:M37)</f>
        <v>6.5483618527650833E-11</v>
      </c>
      <c r="N38" s="5">
        <f>SUM(N34:N37)</f>
        <v>-1.1186784831807017E-10</v>
      </c>
      <c r="O38" s="3"/>
      <c r="P38" s="12" t="s">
        <v>37</v>
      </c>
      <c r="Q38" s="5">
        <f>SUM(Q34:Q37)</f>
        <v>6.5483618527650833E-11</v>
      </c>
      <c r="R38" s="5">
        <f>SUM(R34:R37)</f>
        <v>1.1186784831807017E-10</v>
      </c>
      <c r="S38" s="2"/>
      <c r="T38" s="2"/>
    </row>
    <row r="39" spans="1:20" hidden="1" x14ac:dyDescent="0.2">
      <c r="A39" s="34" t="s">
        <v>36</v>
      </c>
      <c r="B39" s="33">
        <f>0.5*B38</f>
        <v>10.417378533844509</v>
      </c>
      <c r="C39" s="33"/>
      <c r="D39" s="33"/>
      <c r="E39" s="33"/>
      <c r="F39" s="31" t="s">
        <v>35</v>
      </c>
      <c r="G39" s="3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  <c r="T39" s="2"/>
    </row>
    <row r="40" spans="1:20" hidden="1" x14ac:dyDescent="0.2">
      <c r="A40" s="34" t="s">
        <v>34</v>
      </c>
      <c r="B40" s="33">
        <f>0.5*(B36-B37)</f>
        <v>9.749610530344146</v>
      </c>
      <c r="C40" s="33"/>
      <c r="D40" s="33"/>
      <c r="E40" s="33"/>
      <c r="F40" s="33" t="s">
        <v>33</v>
      </c>
      <c r="G40" s="33" t="str">
        <f>E35&amp;I35</f>
        <v>+28.1742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2"/>
    </row>
    <row r="41" spans="1:20" hidden="1" x14ac:dyDescent="0.2">
      <c r="A41" s="33"/>
      <c r="B41" s="33"/>
      <c r="C41" s="33"/>
      <c r="D41" s="33"/>
      <c r="E41" s="33"/>
      <c r="F41" s="33" t="s">
        <v>32</v>
      </c>
      <c r="G41" s="33" t="str">
        <f>E36&amp;I36&amp;F36&amp;J36&amp;"j"</f>
        <v>-3.0779+16.8868j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/>
      <c r="T41" s="2"/>
    </row>
    <row r="42" spans="1:20" hidden="1" x14ac:dyDescent="0.2">
      <c r="A42" s="39"/>
      <c r="B42" s="39"/>
      <c r="C42" s="39"/>
      <c r="D42" s="39"/>
      <c r="E42" s="39"/>
      <c r="F42" s="39" t="s">
        <v>31</v>
      </c>
      <c r="G42" s="39" t="str">
        <f>E37&amp;I37&amp;F37&amp;J37&amp;"j"</f>
        <v>-3.0779-16.8868j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"/>
      <c r="T42" s="2"/>
    </row>
    <row r="43" spans="1:20" ht="13.5" hidden="1" thickBot="1" x14ac:dyDescent="0.25">
      <c r="A43" s="40"/>
      <c r="B43" s="40"/>
      <c r="C43" s="40"/>
      <c r="D43" s="40"/>
      <c r="E43" s="40"/>
      <c r="F43" s="40"/>
      <c r="G43" s="4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"/>
      <c r="T43" s="2"/>
    </row>
    <row r="44" spans="1:20" ht="13.5" hidden="1" thickTop="1" x14ac:dyDescent="0.2">
      <c r="A44" s="41" t="s">
        <v>30</v>
      </c>
      <c r="B44" s="42"/>
      <c r="C44" s="42"/>
      <c r="D44" s="42"/>
      <c r="E44" s="42"/>
      <c r="F44" s="42"/>
      <c r="G44" s="4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2"/>
      <c r="T44" s="2"/>
    </row>
    <row r="45" spans="1:20" ht="15.75" hidden="1" x14ac:dyDescent="0.3">
      <c r="A45" s="33" t="s">
        <v>29</v>
      </c>
      <c r="B45" s="33"/>
      <c r="C45" s="33"/>
      <c r="D45" s="34" t="s">
        <v>28</v>
      </c>
      <c r="E45" s="33" t="e">
        <f>2*SQRT(B47)*COS(B52)</f>
        <v>#NUM!</v>
      </c>
      <c r="F45" s="34" t="s">
        <v>2</v>
      </c>
      <c r="G45" s="33" t="e">
        <f>E45-(B23)/(3*B22)</f>
        <v>#NUM!</v>
      </c>
      <c r="H45" s="3"/>
      <c r="I45" s="3"/>
      <c r="J45" s="3"/>
      <c r="K45" s="3"/>
      <c r="L45" s="5" t="s">
        <v>27</v>
      </c>
      <c r="M45" s="3"/>
      <c r="N45" s="3"/>
      <c r="O45" s="3"/>
      <c r="P45" s="3"/>
      <c r="Q45" s="3"/>
      <c r="R45" s="3"/>
      <c r="S45" s="2"/>
      <c r="T45" s="2"/>
    </row>
    <row r="46" spans="1:20" ht="15.75" hidden="1" x14ac:dyDescent="0.3">
      <c r="A46" s="33" t="s">
        <v>26</v>
      </c>
      <c r="B46" s="33">
        <f>B31</f>
        <v>-4101.1812108003141</v>
      </c>
      <c r="C46" s="33"/>
      <c r="D46" s="34" t="s">
        <v>25</v>
      </c>
      <c r="E46" s="33" t="e">
        <f>-2*SQRT(B47)*COS(B53)</f>
        <v>#NUM!</v>
      </c>
      <c r="F46" s="34" t="s">
        <v>1</v>
      </c>
      <c r="G46" s="43" t="e">
        <f>E46-(B23)/(3*B22)</f>
        <v>#NUM!</v>
      </c>
      <c r="H46" s="3"/>
      <c r="I46" s="3"/>
      <c r="J46" s="3"/>
      <c r="K46" s="3"/>
      <c r="L46" s="3" t="s">
        <v>24</v>
      </c>
      <c r="M46" s="8" t="e">
        <f>B22*G45^3+B23*G45^2+B24*G45+B25</f>
        <v>#NUM!</v>
      </c>
      <c r="N46" s="3"/>
      <c r="O46" s="3"/>
      <c r="P46" s="3"/>
      <c r="Q46" s="3"/>
      <c r="R46" s="3"/>
      <c r="S46" s="2"/>
      <c r="T46" s="2"/>
    </row>
    <row r="47" spans="1:20" ht="15.75" hidden="1" x14ac:dyDescent="0.3">
      <c r="A47" s="44" t="s">
        <v>23</v>
      </c>
      <c r="B47" s="33">
        <f>ABS(B28)/3</f>
        <v>13.46687002400914</v>
      </c>
      <c r="C47" s="33"/>
      <c r="D47" s="34" t="s">
        <v>22</v>
      </c>
      <c r="E47" s="33" t="e">
        <f>-2*SQRT(B47)*COS(B54)</f>
        <v>#NUM!</v>
      </c>
      <c r="F47" s="34" t="s">
        <v>0</v>
      </c>
      <c r="G47" s="33" t="e">
        <f>E47-(B23)/(3*B22)</f>
        <v>#NUM!</v>
      </c>
      <c r="H47" s="3"/>
      <c r="I47" s="3"/>
      <c r="J47" s="3"/>
      <c r="K47" s="3"/>
      <c r="L47" s="3" t="s">
        <v>21</v>
      </c>
      <c r="M47" s="8" t="e">
        <f>B22*G46^3+B23*G46^2+B24*G46+B25</f>
        <v>#NUM!</v>
      </c>
      <c r="N47" s="3"/>
      <c r="O47" s="3"/>
      <c r="P47" s="3"/>
      <c r="Q47" s="3"/>
      <c r="R47" s="3"/>
      <c r="S47" s="2"/>
      <c r="T47" s="2"/>
    </row>
    <row r="48" spans="1:20" ht="15.75" hidden="1" x14ac:dyDescent="0.3">
      <c r="A48" s="44" t="s">
        <v>20</v>
      </c>
      <c r="B48" s="33">
        <f>B47^3</f>
        <v>2442.3056018737116</v>
      </c>
      <c r="C48" s="33"/>
      <c r="D48" s="33"/>
      <c r="E48" s="33"/>
      <c r="F48" s="33"/>
      <c r="G48" s="33"/>
      <c r="H48" s="3"/>
      <c r="I48" s="3"/>
      <c r="J48" s="3"/>
      <c r="K48" s="3"/>
      <c r="L48" s="3" t="s">
        <v>19</v>
      </c>
      <c r="M48" s="8" t="e">
        <f>B22*G47^3+B23*G47^2+B24*G47+B25</f>
        <v>#NUM!</v>
      </c>
      <c r="N48" s="3"/>
      <c r="O48" s="3"/>
      <c r="P48" s="3"/>
      <c r="Q48" s="3"/>
      <c r="R48" s="3"/>
      <c r="S48" s="2"/>
      <c r="T48" s="2"/>
    </row>
    <row r="49" spans="1:20" ht="14.25" hidden="1" x14ac:dyDescent="0.2">
      <c r="A49" s="33" t="s">
        <v>18</v>
      </c>
      <c r="B49" s="33">
        <f>SQRT(B48)</f>
        <v>49.419688403243818</v>
      </c>
      <c r="C49" s="33"/>
      <c r="D49" s="35" t="s">
        <v>17</v>
      </c>
      <c r="E49" s="35"/>
      <c r="F49" s="35"/>
      <c r="G49" s="35"/>
      <c r="H49" s="7"/>
      <c r="I49" s="7"/>
      <c r="J49" s="7"/>
      <c r="K49" s="3"/>
      <c r="L49" s="3"/>
      <c r="M49" s="3"/>
      <c r="N49" s="3"/>
      <c r="O49" s="3"/>
      <c r="P49" s="3"/>
      <c r="Q49" s="3"/>
      <c r="R49" s="3"/>
      <c r="S49" s="2"/>
      <c r="T49" s="2"/>
    </row>
    <row r="50" spans="1:20" hidden="1" x14ac:dyDescent="0.2">
      <c r="A50" s="45" t="s">
        <v>16</v>
      </c>
      <c r="B50" s="46" t="e">
        <f>ACOS(-B46/B49)</f>
        <v>#NUM!</v>
      </c>
      <c r="C50" s="33"/>
      <c r="D50" s="33" t="s">
        <v>15</v>
      </c>
      <c r="E50" s="33"/>
      <c r="F50" s="33"/>
      <c r="G50" s="33" t="s">
        <v>14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"/>
      <c r="T50" s="2"/>
    </row>
    <row r="51" spans="1:20" ht="15.75" hidden="1" x14ac:dyDescent="0.3">
      <c r="A51" s="33" t="s">
        <v>13</v>
      </c>
      <c r="B51" s="33">
        <f>RADIANS(60)</f>
        <v>1.0471975511965976</v>
      </c>
      <c r="C51" s="33"/>
      <c r="D51" s="34" t="s">
        <v>12</v>
      </c>
      <c r="E51" s="33" t="e">
        <f>IF(G45&gt;0,"+","-")</f>
        <v>#NUM!</v>
      </c>
      <c r="F51" s="33"/>
      <c r="G51" s="34" t="s">
        <v>11</v>
      </c>
      <c r="H51" s="3" t="e">
        <f>FIXED(ABS(G45),$C$93,TRUE)</f>
        <v>#NUM!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2"/>
      <c r="T51" s="2"/>
    </row>
    <row r="52" spans="1:20" ht="15.75" hidden="1" x14ac:dyDescent="0.3">
      <c r="A52" s="47" t="s">
        <v>10</v>
      </c>
      <c r="B52" s="33" t="e">
        <f>B50/3</f>
        <v>#NUM!</v>
      </c>
      <c r="C52" s="33"/>
      <c r="D52" s="34" t="s">
        <v>9</v>
      </c>
      <c r="E52" s="33" t="e">
        <f>IF(G46&gt;0,"+","-")</f>
        <v>#NUM!</v>
      </c>
      <c r="F52" s="33"/>
      <c r="G52" s="34" t="s">
        <v>8</v>
      </c>
      <c r="H52" s="3" t="e">
        <f>FIXED(ABS(G46),$C$93,TRUE)</f>
        <v>#NUM!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2"/>
      <c r="T52" s="2"/>
    </row>
    <row r="53" spans="1:20" ht="15.75" hidden="1" x14ac:dyDescent="0.3">
      <c r="A53" s="45" t="s">
        <v>7</v>
      </c>
      <c r="B53" s="44" t="e">
        <f>(B50/3)-B51</f>
        <v>#NUM!</v>
      </c>
      <c r="C53" s="33"/>
      <c r="D53" s="34" t="s">
        <v>6</v>
      </c>
      <c r="E53" s="33" t="e">
        <f>IF(G47&gt;0,"+","-")</f>
        <v>#NUM!</v>
      </c>
      <c r="F53" s="33"/>
      <c r="G53" s="34" t="s">
        <v>5</v>
      </c>
      <c r="H53" s="3" t="e">
        <f>FIXED(ABS(G47),$C$93,TRUE)</f>
        <v>#NUM!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2"/>
      <c r="T53" s="2"/>
    </row>
    <row r="54" spans="1:20" ht="14.25" hidden="1" x14ac:dyDescent="0.2">
      <c r="A54" s="45" t="s">
        <v>4</v>
      </c>
      <c r="B54" s="44" t="e">
        <f>(B50/3)+B51</f>
        <v>#NUM!</v>
      </c>
      <c r="C54" s="33"/>
      <c r="D54" s="33"/>
      <c r="E54" s="33"/>
      <c r="F54" s="33"/>
      <c r="G54" s="3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  <c r="T54" s="2"/>
    </row>
    <row r="55" spans="1:20" hidden="1" x14ac:dyDescent="0.2">
      <c r="A55" s="33"/>
      <c r="B55" s="33"/>
      <c r="C55" s="33"/>
      <c r="D55" s="31" t="s">
        <v>3</v>
      </c>
      <c r="E55" s="33"/>
      <c r="F55" s="33"/>
      <c r="G55" s="3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2"/>
      <c r="T55" s="2"/>
    </row>
    <row r="56" spans="1:20" ht="15.75" hidden="1" x14ac:dyDescent="0.3">
      <c r="A56" s="33"/>
      <c r="B56" s="33"/>
      <c r="C56" s="33"/>
      <c r="D56" s="34" t="s">
        <v>2</v>
      </c>
      <c r="E56" s="34" t="e">
        <f>E51&amp;H51</f>
        <v>#NUM!</v>
      </c>
      <c r="F56" s="33"/>
      <c r="G56" s="3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  <c r="T56" s="2"/>
    </row>
    <row r="57" spans="1:20" ht="15.75" hidden="1" x14ac:dyDescent="0.3">
      <c r="A57" s="33"/>
      <c r="B57" s="33"/>
      <c r="C57" s="33"/>
      <c r="D57" s="34" t="s">
        <v>1</v>
      </c>
      <c r="E57" s="34" t="e">
        <f>E52&amp;H52</f>
        <v>#NUM!</v>
      </c>
      <c r="F57" s="33"/>
      <c r="G57" s="3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  <c r="T57" s="2"/>
    </row>
    <row r="58" spans="1:20" ht="15.75" hidden="1" x14ac:dyDescent="0.3">
      <c r="A58" s="33"/>
      <c r="B58" s="33"/>
      <c r="C58" s="33"/>
      <c r="D58" s="34" t="s">
        <v>0</v>
      </c>
      <c r="E58" s="34" t="e">
        <f>E53&amp;H53</f>
        <v>#NUM!</v>
      </c>
      <c r="F58" s="33"/>
      <c r="G58" s="3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"/>
      <c r="T58" s="2"/>
    </row>
    <row r="59" spans="1:20" hidden="1" x14ac:dyDescent="0.2"/>
    <row r="60" spans="1:20" hidden="1" x14ac:dyDescent="0.2">
      <c r="A60" s="28"/>
      <c r="B60" s="28"/>
      <c r="C60" s="28"/>
      <c r="D60" s="28"/>
      <c r="E60" s="28"/>
      <c r="F60" s="28"/>
      <c r="G60" s="28"/>
    </row>
    <row r="61" spans="1:20" hidden="1" x14ac:dyDescent="0.2">
      <c r="A61" s="28"/>
      <c r="B61" s="28"/>
      <c r="C61" s="28"/>
      <c r="D61" s="28"/>
      <c r="E61" s="28"/>
      <c r="F61" s="28"/>
      <c r="G61" s="28"/>
    </row>
    <row r="62" spans="1:20" hidden="1" x14ac:dyDescent="0.2">
      <c r="A62" s="28"/>
      <c r="B62" s="28"/>
      <c r="C62" s="28"/>
      <c r="D62" s="28"/>
      <c r="E62" s="28"/>
      <c r="F62" s="28"/>
      <c r="G62" s="28"/>
    </row>
    <row r="63" spans="1:20" hidden="1" x14ac:dyDescent="0.2">
      <c r="A63" s="28"/>
      <c r="B63" s="28"/>
      <c r="C63" s="28"/>
      <c r="D63" s="28"/>
      <c r="E63" s="28"/>
      <c r="F63" s="28"/>
      <c r="G63" s="28"/>
    </row>
    <row r="64" spans="1:20" hidden="1" x14ac:dyDescent="0.2">
      <c r="A64" s="28"/>
      <c r="B64" s="28"/>
      <c r="C64" s="28"/>
      <c r="D64" s="28"/>
      <c r="E64" s="28"/>
      <c r="F64" s="28"/>
      <c r="G64" s="28"/>
    </row>
    <row r="65" spans="1:7" hidden="1" x14ac:dyDescent="0.2">
      <c r="A65" s="28"/>
      <c r="B65" s="28"/>
      <c r="C65" s="28"/>
      <c r="D65" s="28"/>
      <c r="E65" s="28"/>
      <c r="F65" s="28"/>
      <c r="G65" s="28"/>
    </row>
    <row r="66" spans="1:7" hidden="1" x14ac:dyDescent="0.2">
      <c r="A66" s="28"/>
      <c r="B66" s="28"/>
      <c r="C66" s="28"/>
      <c r="D66" s="28"/>
      <c r="E66" s="28"/>
      <c r="F66" s="28"/>
      <c r="G66" s="28"/>
    </row>
    <row r="67" spans="1:7" hidden="1" x14ac:dyDescent="0.2">
      <c r="A67" s="28"/>
      <c r="B67" s="28"/>
      <c r="C67" s="28"/>
      <c r="D67" s="28"/>
      <c r="E67" s="28"/>
      <c r="F67" s="28"/>
      <c r="G67" s="28"/>
    </row>
    <row r="68" spans="1:7" hidden="1" x14ac:dyDescent="0.2">
      <c r="A68" s="28"/>
      <c r="B68" s="28"/>
      <c r="C68" s="28"/>
      <c r="D68" s="28"/>
      <c r="E68" s="28"/>
      <c r="F68" s="28"/>
      <c r="G68" s="28"/>
    </row>
    <row r="69" spans="1:7" hidden="1" x14ac:dyDescent="0.2">
      <c r="A69" s="28"/>
      <c r="B69" s="28"/>
      <c r="C69" s="28"/>
      <c r="D69" s="28"/>
      <c r="E69" s="28"/>
      <c r="F69" s="28"/>
      <c r="G69" s="28"/>
    </row>
    <row r="70" spans="1:7" hidden="1" x14ac:dyDescent="0.2">
      <c r="A70" s="28"/>
      <c r="B70" s="28"/>
      <c r="C70" s="28"/>
      <c r="D70" s="28"/>
      <c r="E70" s="28"/>
      <c r="F70" s="28"/>
      <c r="G70" s="28"/>
    </row>
    <row r="71" spans="1:7" hidden="1" x14ac:dyDescent="0.2">
      <c r="A71" s="28"/>
      <c r="B71" s="28"/>
      <c r="C71" s="28"/>
      <c r="D71" s="28"/>
      <c r="E71" s="28"/>
      <c r="F71" s="28"/>
      <c r="G71" s="28"/>
    </row>
    <row r="72" spans="1:7" hidden="1" x14ac:dyDescent="0.2">
      <c r="A72" s="28"/>
      <c r="B72" s="28"/>
      <c r="C72" s="28"/>
      <c r="D72" s="28"/>
      <c r="E72" s="28"/>
      <c r="F72" s="28"/>
      <c r="G72" s="28"/>
    </row>
    <row r="73" spans="1:7" hidden="1" x14ac:dyDescent="0.2">
      <c r="A73" s="28"/>
      <c r="B73" s="28"/>
      <c r="C73" s="28"/>
      <c r="D73" s="28"/>
      <c r="E73" s="28"/>
      <c r="F73" s="28"/>
      <c r="G73" s="28"/>
    </row>
    <row r="74" spans="1:7" hidden="1" x14ac:dyDescent="0.2">
      <c r="A74" s="28"/>
      <c r="B74" s="28"/>
      <c r="C74" s="28"/>
      <c r="D74" s="28"/>
      <c r="E74" s="28"/>
      <c r="F74" s="28"/>
      <c r="G74" s="28"/>
    </row>
    <row r="75" spans="1:7" hidden="1" x14ac:dyDescent="0.2">
      <c r="A75" s="28"/>
      <c r="B75" s="28"/>
      <c r="C75" s="28"/>
      <c r="D75" s="28"/>
      <c r="E75" s="28"/>
      <c r="F75" s="28"/>
      <c r="G75" s="28"/>
    </row>
    <row r="76" spans="1:7" hidden="1" x14ac:dyDescent="0.2">
      <c r="A76" s="28"/>
      <c r="B76" s="28"/>
      <c r="C76" s="28"/>
      <c r="D76" s="28"/>
      <c r="E76" s="28"/>
      <c r="F76" s="28"/>
      <c r="G76" s="28"/>
    </row>
    <row r="77" spans="1:7" hidden="1" x14ac:dyDescent="0.2">
      <c r="A77" s="28"/>
      <c r="B77" s="28"/>
      <c r="C77" s="28"/>
      <c r="D77" s="28"/>
      <c r="E77" s="28"/>
      <c r="F77" s="28"/>
      <c r="G77" s="28"/>
    </row>
    <row r="78" spans="1:7" hidden="1" x14ac:dyDescent="0.2">
      <c r="A78" s="28"/>
      <c r="B78" s="28"/>
      <c r="C78" s="28"/>
      <c r="D78" s="28"/>
      <c r="E78" s="28"/>
      <c r="F78" s="28"/>
      <c r="G78" s="28"/>
    </row>
    <row r="79" spans="1:7" hidden="1" x14ac:dyDescent="0.2">
      <c r="A79" s="28"/>
      <c r="B79" s="28"/>
      <c r="C79" s="28"/>
      <c r="D79" s="28"/>
      <c r="E79" s="28"/>
      <c r="F79" s="28"/>
      <c r="G79" s="28"/>
    </row>
    <row r="80" spans="1:7" hidden="1" x14ac:dyDescent="0.2">
      <c r="A80" s="28"/>
      <c r="B80" s="28"/>
      <c r="C80" s="28"/>
      <c r="D80" s="28"/>
      <c r="E80" s="28"/>
      <c r="F80" s="28"/>
      <c r="G80" s="28"/>
    </row>
    <row r="81" spans="1:8" hidden="1" x14ac:dyDescent="0.2">
      <c r="A81" s="28"/>
      <c r="B81" s="28"/>
      <c r="C81" s="28"/>
      <c r="D81" s="28"/>
      <c r="E81" s="28"/>
      <c r="F81" s="28"/>
      <c r="G81" s="28"/>
    </row>
    <row r="82" spans="1:8" hidden="1" x14ac:dyDescent="0.2">
      <c r="A82" s="28"/>
      <c r="B82" s="28"/>
      <c r="C82" s="28"/>
      <c r="D82" s="28"/>
      <c r="E82" s="28"/>
      <c r="F82" s="28"/>
      <c r="G82" s="28"/>
    </row>
    <row r="83" spans="1:8" hidden="1" x14ac:dyDescent="0.2">
      <c r="A83" s="28"/>
      <c r="B83" s="28"/>
      <c r="C83" s="28"/>
      <c r="D83" s="28"/>
      <c r="E83" s="28"/>
      <c r="F83" s="28"/>
      <c r="G83" s="28"/>
    </row>
    <row r="84" spans="1:8" hidden="1" x14ac:dyDescent="0.2">
      <c r="A84" s="28"/>
      <c r="B84" s="28"/>
      <c r="C84" s="28"/>
      <c r="D84" s="28"/>
      <c r="E84" s="28"/>
      <c r="F84" s="28"/>
      <c r="G84" s="28"/>
    </row>
    <row r="85" spans="1:8" x14ac:dyDescent="0.2">
      <c r="A85" s="28"/>
      <c r="B85" s="28"/>
      <c r="C85" s="28"/>
      <c r="D85" s="28"/>
      <c r="E85" s="28"/>
      <c r="F85" s="28"/>
      <c r="G85" s="28"/>
    </row>
    <row r="86" spans="1:8" ht="21" x14ac:dyDescent="0.25">
      <c r="A86" s="27" t="s">
        <v>99</v>
      </c>
      <c r="B86" s="27"/>
      <c r="C86" s="27"/>
      <c r="D86" s="27"/>
      <c r="E86" s="27"/>
      <c r="F86" s="27"/>
      <c r="G86" s="27"/>
    </row>
    <row r="87" spans="1:8" x14ac:dyDescent="0.2">
      <c r="A87" s="30" t="s">
        <v>84</v>
      </c>
      <c r="B87" s="30"/>
      <c r="C87" s="30"/>
      <c r="D87" s="30"/>
      <c r="E87" s="56"/>
      <c r="H87" s="29"/>
    </row>
    <row r="88" spans="1:8" ht="13.5" thickBot="1" x14ac:dyDescent="0.25">
      <c r="A88" s="2"/>
      <c r="G88" s="16"/>
    </row>
    <row r="89" spans="1:8" x14ac:dyDescent="0.2">
      <c r="A89" s="2"/>
      <c r="B89" s="25" t="s">
        <v>77</v>
      </c>
      <c r="C89" s="64">
        <f>A12</f>
        <v>1</v>
      </c>
      <c r="D89" s="19"/>
      <c r="E89" s="19"/>
      <c r="F89" s="2"/>
      <c r="G89" s="2"/>
    </row>
    <row r="90" spans="1:8" x14ac:dyDescent="0.2">
      <c r="A90" s="2"/>
      <c r="B90" s="24" t="s">
        <v>76</v>
      </c>
      <c r="C90" s="65">
        <f>B12</f>
        <v>-22.018340556552602</v>
      </c>
      <c r="D90" s="19"/>
      <c r="E90" s="19"/>
      <c r="F90" s="2"/>
      <c r="G90" s="2"/>
    </row>
    <row r="91" spans="1:8" x14ac:dyDescent="0.2">
      <c r="A91" s="2"/>
      <c r="B91" s="24" t="s">
        <v>75</v>
      </c>
      <c r="C91" s="65">
        <f>C12</f>
        <v>121.20183021608229</v>
      </c>
      <c r="D91" s="19"/>
      <c r="E91" s="19"/>
      <c r="F91" s="2"/>
      <c r="G91" s="2"/>
    </row>
    <row r="92" spans="1:8" ht="13.5" thickBot="1" x14ac:dyDescent="0.25">
      <c r="A92" s="2"/>
      <c r="B92" s="23" t="s">
        <v>56</v>
      </c>
      <c r="C92" s="66">
        <f>D12</f>
        <v>-8301.2017984071153</v>
      </c>
      <c r="D92" s="19"/>
      <c r="E92" s="19"/>
      <c r="F92" s="2"/>
      <c r="G92" s="2"/>
    </row>
    <row r="93" spans="1:8" ht="13.5" thickBot="1" x14ac:dyDescent="0.25">
      <c r="B93" s="22" t="s">
        <v>82</v>
      </c>
      <c r="C93" s="21">
        <v>4</v>
      </c>
      <c r="D93" s="20" t="s">
        <v>81</v>
      </c>
      <c r="E93" s="19"/>
    </row>
    <row r="94" spans="1:8" ht="13.5" thickBot="1" x14ac:dyDescent="0.25">
      <c r="D94" s="2"/>
      <c r="E94" s="2"/>
      <c r="F94" s="2"/>
      <c r="G94" s="2"/>
    </row>
    <row r="95" spans="1:8" ht="13.5" thickBot="1" x14ac:dyDescent="0.25">
      <c r="A95" s="18"/>
      <c r="C95" s="58" t="s">
        <v>80</v>
      </c>
      <c r="D95" s="59" t="s">
        <v>79</v>
      </c>
      <c r="E95" s="2"/>
      <c r="F95" s="2"/>
      <c r="G95" s="2"/>
    </row>
    <row r="96" spans="1:8" ht="20.25" thickTop="1" thickBot="1" x14ac:dyDescent="0.4">
      <c r="A96" s="18"/>
      <c r="B96" s="94" t="s">
        <v>117</v>
      </c>
      <c r="C96" s="88">
        <f t="shared" ref="C96:D98" si="0">IF($B$34&lt;0,G45,I29)</f>
        <v>28.174203919873218</v>
      </c>
      <c r="D96" s="60">
        <f t="shared" si="0"/>
        <v>0</v>
      </c>
      <c r="E96" s="2"/>
      <c r="F96" s="2"/>
      <c r="G96" s="2"/>
    </row>
    <row r="97" spans="1:7" ht="20.25" thickTop="1" thickBot="1" x14ac:dyDescent="0.4">
      <c r="A97" s="18"/>
      <c r="B97" s="94" t="s">
        <v>118</v>
      </c>
      <c r="C97" s="89">
        <f t="shared" si="0"/>
        <v>-3.0779316816603091</v>
      </c>
      <c r="D97" s="61">
        <f t="shared" si="0"/>
        <v>16.886820792564606</v>
      </c>
      <c r="E97" s="2"/>
      <c r="F97" s="2"/>
      <c r="G97" s="2"/>
    </row>
    <row r="98" spans="1:7" ht="20.25" thickTop="1" thickBot="1" x14ac:dyDescent="0.4">
      <c r="A98" s="18"/>
      <c r="B98" s="94" t="s">
        <v>119</v>
      </c>
      <c r="C98" s="90">
        <f t="shared" si="0"/>
        <v>-3.0779316816603091</v>
      </c>
      <c r="D98" s="62">
        <f t="shared" si="0"/>
        <v>-16.886820792564606</v>
      </c>
      <c r="E98" s="2"/>
      <c r="F98" s="2"/>
      <c r="G98" s="2"/>
    </row>
    <row r="99" spans="1:7" ht="13.5" thickTop="1" x14ac:dyDescent="0.2">
      <c r="A99" s="16"/>
      <c r="B99" s="2"/>
      <c r="C99" s="2"/>
      <c r="D99" s="2"/>
      <c r="E99" s="2"/>
      <c r="F99" s="2"/>
      <c r="G99" s="2"/>
    </row>
    <row r="100" spans="1:7" ht="13.5" thickBot="1" x14ac:dyDescent="0.25">
      <c r="A100" s="2"/>
      <c r="B100" s="17" t="s">
        <v>83</v>
      </c>
      <c r="C100" s="2"/>
      <c r="D100" s="2"/>
      <c r="E100" s="2"/>
      <c r="F100" s="2"/>
      <c r="G100" s="2"/>
    </row>
    <row r="101" spans="1:7" ht="20.25" thickTop="1" thickBot="1" x14ac:dyDescent="0.4">
      <c r="B101" s="94" t="s">
        <v>120</v>
      </c>
      <c r="C101" s="97" t="str">
        <f>IF(B34&lt;0,E56,G40)</f>
        <v>+28.1742</v>
      </c>
      <c r="D101" s="98"/>
      <c r="E101" s="98"/>
      <c r="F101" s="99"/>
      <c r="G101" s="2"/>
    </row>
    <row r="102" spans="1:7" ht="20.25" thickTop="1" thickBot="1" x14ac:dyDescent="0.4">
      <c r="A102" s="2"/>
      <c r="B102" s="94" t="s">
        <v>121</v>
      </c>
      <c r="C102" s="100" t="str">
        <f>IF(B34&lt;0,E57,G41)</f>
        <v>-3.0779+16.8868j</v>
      </c>
      <c r="D102" s="100"/>
      <c r="E102" s="100"/>
      <c r="F102" s="101"/>
      <c r="G102" s="2"/>
    </row>
    <row r="103" spans="1:7" ht="20.25" thickTop="1" thickBot="1" x14ac:dyDescent="0.4">
      <c r="A103" s="2"/>
      <c r="B103" s="94" t="s">
        <v>119</v>
      </c>
      <c r="C103" s="102" t="str">
        <f>IF(B34&lt;0,E58,G42)</f>
        <v>-3.0779-16.8868j</v>
      </c>
      <c r="D103" s="102"/>
      <c r="E103" s="102"/>
      <c r="F103" s="103"/>
      <c r="G103" s="2"/>
    </row>
    <row r="104" spans="1:7" ht="13.5" thickTop="1" x14ac:dyDescent="0.2">
      <c r="A104" s="2"/>
      <c r="B104" s="2"/>
      <c r="C104" s="2"/>
      <c r="D104" s="2"/>
      <c r="E104" s="2"/>
      <c r="F104" s="2"/>
      <c r="G104" s="2"/>
    </row>
    <row r="106" spans="1:7" x14ac:dyDescent="0.2">
      <c r="B106" s="63" t="s">
        <v>110</v>
      </c>
      <c r="C106" s="63"/>
      <c r="D106" s="63"/>
      <c r="E106" s="63"/>
      <c r="F106" s="55"/>
    </row>
    <row r="108" spans="1:7" x14ac:dyDescent="0.2">
      <c r="B108" s="92" t="s">
        <v>111</v>
      </c>
      <c r="C108" s="55"/>
      <c r="D108" s="55"/>
      <c r="E108" s="55"/>
      <c r="F108" s="55"/>
    </row>
  </sheetData>
  <sheetProtection algorithmName="SHA-512" hashValue="xR1CyE4Qnjl/zZcMkgkIFcEPltBIAdH9iP7ROLD7jUb/N6PQZ1jRu6G7uYE3/4BaBxyRBHSfUEHuJjwDkgymig==" saltValue="R5+gZMDQ2p+aZjy21D2DoA==" spinCount="100000" sheet="1" objects="1" selectLockedCells="1"/>
  <mergeCells count="3">
    <mergeCell ref="C101:F101"/>
    <mergeCell ref="C102:F102"/>
    <mergeCell ref="C103:F103"/>
  </mergeCells>
  <pageMargins left="0.75" right="0.75" top="1" bottom="1" header="0.5" footer="0.5"/>
  <pageSetup paperSize="9" orientation="portrait" horizontalDpi="150" verticalDpi="150" r:id="rId1"/>
  <headerFooter alignWithMargins="0"/>
  <customProperties>
    <customPr name="SSC_SHEET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CBDB9-FE10-4DA9-9D90-F4FBC5CFF470}">
  <dimension ref="A1:XFC108"/>
  <sheetViews>
    <sheetView showGridLines="0" workbookViewId="0">
      <selection activeCell="C9" sqref="C9"/>
    </sheetView>
  </sheetViews>
  <sheetFormatPr baseColWidth="10" defaultColWidth="0" defaultRowHeight="12.75" x14ac:dyDescent="0.2"/>
  <cols>
    <col min="1" max="1" width="15.140625" style="1" customWidth="1"/>
    <col min="2" max="2" width="9" style="1" customWidth="1"/>
    <col min="3" max="3" width="13.7109375" style="1" customWidth="1"/>
    <col min="4" max="4" width="14" style="1" customWidth="1"/>
    <col min="5" max="5" width="8.7109375" style="1" customWidth="1"/>
    <col min="6" max="6" width="6.5703125" style="1" customWidth="1"/>
    <col min="7" max="7" width="25" style="1" customWidth="1"/>
    <col min="8" max="16383" width="9.140625" style="1" hidden="1"/>
    <col min="16384" max="16384" width="1.140625" style="1" hidden="1"/>
  </cols>
  <sheetData>
    <row r="1" spans="1:20" ht="18" x14ac:dyDescent="0.25">
      <c r="A1" s="49" t="s">
        <v>127</v>
      </c>
      <c r="B1" s="49"/>
      <c r="C1" s="49"/>
      <c r="D1" s="49"/>
      <c r="E1" s="49"/>
      <c r="F1" s="50"/>
      <c r="G1" s="48"/>
      <c r="H1" s="26"/>
      <c r="I1" s="26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30" t="s">
        <v>84</v>
      </c>
      <c r="B2" s="30"/>
      <c r="C2" s="30"/>
      <c r="D2" s="30"/>
      <c r="E2" s="56"/>
      <c r="H2" s="2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A3" s="51" t="s">
        <v>94</v>
      </c>
      <c r="C3" s="85">
        <v>126.15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">
      <c r="A4" s="53" t="s">
        <v>113</v>
      </c>
      <c r="B4" s="53"/>
      <c r="C4" s="82">
        <v>400</v>
      </c>
      <c r="E4" s="51" t="s">
        <v>106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A5" s="53" t="s">
        <v>95</v>
      </c>
      <c r="B5" s="53"/>
      <c r="C5" s="93">
        <v>33.5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53" t="s">
        <v>96</v>
      </c>
      <c r="B6" s="53"/>
      <c r="C6" s="93"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 x14ac:dyDescent="0.2">
      <c r="A7" s="53" t="s">
        <v>93</v>
      </c>
      <c r="B7" s="53"/>
      <c r="C7" s="83">
        <f>0.4278*((C9^2)*(C3)^2.5)/C5</f>
        <v>15.347647471728642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">
      <c r="A8" s="53" t="s">
        <v>86</v>
      </c>
      <c r="B8" s="53"/>
      <c r="C8" s="83">
        <f>0.0867*((C9)*(C3))/C5</f>
        <v>2.6771665970149253E-2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">
      <c r="A9" s="51" t="s">
        <v>87</v>
      </c>
      <c r="C9" s="84">
        <v>8.2000000000000003E-2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"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4.25" x14ac:dyDescent="0.2">
      <c r="A11" s="57" t="s">
        <v>128</v>
      </c>
      <c r="B11" s="57" t="s">
        <v>129</v>
      </c>
      <c r="C11" s="52" t="s">
        <v>130</v>
      </c>
      <c r="D11" s="52" t="s">
        <v>88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">
      <c r="A12" s="87">
        <f>1</f>
        <v>1</v>
      </c>
      <c r="B12" s="87">
        <f>-(C9*C4)/C6</f>
        <v>-32.800000000000004</v>
      </c>
      <c r="C12" s="87">
        <f>((C8^2)+((C9*C4*C8)/(C6))+(C7/(C6*C4^0.5)))</f>
        <v>1.646209739506145</v>
      </c>
      <c r="D12" s="87">
        <f>-(C7*C8)/(C6*C4^0.5)</f>
        <v>-2.0544104577036246E-2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"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">
      <c r="A14" s="51" t="s">
        <v>108</v>
      </c>
      <c r="B14" s="91">
        <f>(C4*C9)/(C6)</f>
        <v>32.800000000000004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">
      <c r="A15" s="51" t="s">
        <v>109</v>
      </c>
      <c r="B15" s="91">
        <f>C96</f>
        <v>32.749752828900249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idden="1" x14ac:dyDescent="0.2"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idden="1" x14ac:dyDescent="0.2"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idden="1" x14ac:dyDescent="0.2"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idden="1" x14ac:dyDescent="0.2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idden="1" x14ac:dyDescent="0.2">
      <c r="A20" s="2"/>
      <c r="B20" s="2"/>
      <c r="C20" s="2"/>
      <c r="D20" s="2"/>
      <c r="E20" s="2"/>
      <c r="F20" s="2"/>
      <c r="G20" s="2"/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idden="1" x14ac:dyDescent="0.2">
      <c r="A21" s="31" t="s">
        <v>78</v>
      </c>
      <c r="B21" s="32"/>
      <c r="C21" s="32"/>
      <c r="D21" s="32"/>
      <c r="E21" s="33"/>
      <c r="F21" s="33"/>
      <c r="G21" s="3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  <c r="T21" s="2"/>
    </row>
    <row r="22" spans="1:20" hidden="1" x14ac:dyDescent="0.2">
      <c r="A22" s="34" t="s">
        <v>77</v>
      </c>
      <c r="B22" s="33">
        <f>C89</f>
        <v>1</v>
      </c>
      <c r="C22" s="33"/>
      <c r="D22" s="33"/>
      <c r="E22" s="33"/>
      <c r="F22" s="33"/>
      <c r="G22" s="3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"/>
      <c r="T22" s="2"/>
    </row>
    <row r="23" spans="1:20" hidden="1" x14ac:dyDescent="0.2">
      <c r="A23" s="34" t="s">
        <v>76</v>
      </c>
      <c r="B23" s="33">
        <f>C90</f>
        <v>-32.800000000000004</v>
      </c>
      <c r="C23" s="33"/>
      <c r="D23" s="33"/>
      <c r="E23" s="33"/>
      <c r="F23" s="33"/>
      <c r="G23" s="3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"/>
      <c r="T23" s="2"/>
    </row>
    <row r="24" spans="1:20" hidden="1" x14ac:dyDescent="0.2">
      <c r="A24" s="34" t="s">
        <v>75</v>
      </c>
      <c r="B24" s="33">
        <f>C91</f>
        <v>1.646209739506145</v>
      </c>
      <c r="C24" s="33"/>
      <c r="D24" s="33"/>
      <c r="E24" s="33"/>
      <c r="F24" s="33"/>
      <c r="G24" s="3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  <c r="T24" s="2"/>
    </row>
    <row r="25" spans="1:20" hidden="1" x14ac:dyDescent="0.2">
      <c r="A25" s="34" t="s">
        <v>56</v>
      </c>
      <c r="B25" s="33">
        <f>C92</f>
        <v>-2.0544104577036246E-2</v>
      </c>
      <c r="C25" s="33"/>
      <c r="D25" s="33"/>
      <c r="E25" s="33"/>
      <c r="F25" s="33"/>
      <c r="G25" s="3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T25" s="2"/>
    </row>
    <row r="26" spans="1:20" hidden="1" x14ac:dyDescent="0.2">
      <c r="A26" s="35" t="s">
        <v>74</v>
      </c>
      <c r="B26" s="33"/>
      <c r="C26" s="33"/>
      <c r="D26" s="33"/>
      <c r="E26" s="33"/>
      <c r="F26" s="33"/>
      <c r="G26" s="3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2"/>
    </row>
    <row r="27" spans="1:20" hidden="1" x14ac:dyDescent="0.2">
      <c r="A27" s="33" t="s">
        <v>29</v>
      </c>
      <c r="B27" s="33"/>
      <c r="C27" s="33"/>
      <c r="D27" s="33"/>
      <c r="E27" s="33"/>
      <c r="F27" s="33"/>
      <c r="G27" s="3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  <c r="T27" s="2"/>
    </row>
    <row r="28" spans="1:20" hidden="1" x14ac:dyDescent="0.2">
      <c r="A28" s="34" t="s">
        <v>73</v>
      </c>
      <c r="B28" s="33">
        <f>+(B24/B22)-((B23^2)/(3*B22^2))</f>
        <v>-356.9671235938273</v>
      </c>
      <c r="C28" s="33"/>
      <c r="D28" s="33"/>
      <c r="E28" s="36" t="s">
        <v>54</v>
      </c>
      <c r="F28" s="36" t="s">
        <v>53</v>
      </c>
      <c r="G28" s="33"/>
      <c r="H28" s="15"/>
      <c r="I28" s="13" t="s">
        <v>54</v>
      </c>
      <c r="J28" s="13" t="s">
        <v>53</v>
      </c>
      <c r="K28" s="3"/>
      <c r="L28" s="5" t="s">
        <v>72</v>
      </c>
      <c r="M28" s="3"/>
      <c r="N28" s="3"/>
      <c r="O28" s="3"/>
      <c r="P28" s="3"/>
      <c r="Q28" s="3"/>
      <c r="R28" s="3"/>
      <c r="S28" s="2"/>
      <c r="T28" s="2"/>
    </row>
    <row r="29" spans="1:20" hidden="1" x14ac:dyDescent="0.2">
      <c r="A29" s="34" t="s">
        <v>71</v>
      </c>
      <c r="B29" s="33">
        <f>((2*B23^3)/(27*B22^3))-((B23*B24)/(3*B22^2))+(B25/B22)</f>
        <v>-2595.9147250267188</v>
      </c>
      <c r="C29" s="33"/>
      <c r="D29" s="34" t="s">
        <v>70</v>
      </c>
      <c r="E29" s="33" t="e">
        <f>B38</f>
        <v>#NUM!</v>
      </c>
      <c r="F29" s="33"/>
      <c r="G29" s="36" t="s">
        <v>64</v>
      </c>
      <c r="H29" s="4" t="s">
        <v>33</v>
      </c>
      <c r="I29" s="3" t="e">
        <f>E29-((B23)/(3*B22))</f>
        <v>#NUM!</v>
      </c>
      <c r="J29" s="3"/>
      <c r="K29" s="3"/>
      <c r="L29" s="3"/>
      <c r="M29" s="3"/>
      <c r="N29" s="3"/>
      <c r="O29" s="3"/>
      <c r="P29" s="3"/>
      <c r="Q29" s="3"/>
      <c r="R29" s="3"/>
      <c r="S29" s="2"/>
      <c r="T29" s="2"/>
    </row>
    <row r="30" spans="1:20" ht="15.75" hidden="1" x14ac:dyDescent="0.3">
      <c r="A30" s="34" t="s">
        <v>69</v>
      </c>
      <c r="B30" s="33">
        <f>B28/3</f>
        <v>-118.98904119794243</v>
      </c>
      <c r="C30" s="33"/>
      <c r="D30" s="34" t="s">
        <v>68</v>
      </c>
      <c r="E30" s="37" t="e">
        <f>-B39</f>
        <v>#NUM!</v>
      </c>
      <c r="F30" s="33" t="e">
        <f>SQRT(3)*B40</f>
        <v>#NUM!</v>
      </c>
      <c r="G30" s="36" t="s">
        <v>64</v>
      </c>
      <c r="H30" s="4" t="s">
        <v>32</v>
      </c>
      <c r="I30" s="6" t="e">
        <f>E30-((B23)/(3*B22))</f>
        <v>#NUM!</v>
      </c>
      <c r="J30" s="3" t="e">
        <f>F30</f>
        <v>#NUM!</v>
      </c>
      <c r="K30" s="3"/>
      <c r="L30" s="3" t="s">
        <v>67</v>
      </c>
      <c r="M30" s="3" t="e">
        <f>I30^2-J30^2</f>
        <v>#NUM!</v>
      </c>
      <c r="N30" s="3" t="e">
        <f>2*I30*J30</f>
        <v>#NUM!</v>
      </c>
      <c r="O30" s="3"/>
      <c r="P30" s="3" t="s">
        <v>66</v>
      </c>
      <c r="Q30" s="3" t="e">
        <f>I30^3-3*I30*J30^2</f>
        <v>#NUM!</v>
      </c>
      <c r="R30" s="3" t="e">
        <f>3*I30^2*J30-J30^3</f>
        <v>#NUM!</v>
      </c>
      <c r="S30" s="2"/>
      <c r="T30" s="2"/>
    </row>
    <row r="31" spans="1:20" ht="15.75" hidden="1" x14ac:dyDescent="0.3">
      <c r="A31" s="34" t="s">
        <v>26</v>
      </c>
      <c r="B31" s="33">
        <f>B29/2</f>
        <v>-1297.9573625133594</v>
      </c>
      <c r="C31" s="33"/>
      <c r="D31" s="34" t="s">
        <v>65</v>
      </c>
      <c r="E31" s="33" t="e">
        <f>-B39</f>
        <v>#NUM!</v>
      </c>
      <c r="F31" s="33" t="e">
        <f>-SQRT(3)*B40</f>
        <v>#NUM!</v>
      </c>
      <c r="G31" s="36" t="s">
        <v>64</v>
      </c>
      <c r="H31" s="4" t="s">
        <v>31</v>
      </c>
      <c r="I31" s="6" t="e">
        <f>E31-((B23)/(3*B22))</f>
        <v>#NUM!</v>
      </c>
      <c r="J31" s="3" t="e">
        <f>F31</f>
        <v>#NUM!</v>
      </c>
      <c r="K31" s="3"/>
      <c r="L31" s="3" t="s">
        <v>63</v>
      </c>
      <c r="M31" s="3" t="e">
        <f>I31^2-J31^2</f>
        <v>#NUM!</v>
      </c>
      <c r="N31" s="3" t="e">
        <f>2*I31*J31</f>
        <v>#NUM!</v>
      </c>
      <c r="O31" s="3"/>
      <c r="P31" s="3" t="s">
        <v>62</v>
      </c>
      <c r="Q31" s="3" t="e">
        <f>I31^3-3*I31*J31^2</f>
        <v>#NUM!</v>
      </c>
      <c r="R31" s="3" t="e">
        <f>3*I31^2*J31-J31^3</f>
        <v>#NUM!</v>
      </c>
      <c r="S31" s="2"/>
      <c r="T31" s="2"/>
    </row>
    <row r="32" spans="1:20" ht="14.25" hidden="1" x14ac:dyDescent="0.2">
      <c r="A32" s="34" t="s">
        <v>61</v>
      </c>
      <c r="B32" s="33">
        <f>B30^3</f>
        <v>-1684693.4800849094</v>
      </c>
      <c r="C32" s="33"/>
      <c r="D32" s="33"/>
      <c r="E32" s="33"/>
      <c r="F32" s="33"/>
      <c r="G32" s="33"/>
      <c r="H32" s="3"/>
      <c r="I32" s="3"/>
      <c r="J32" s="3"/>
      <c r="K32" s="3"/>
      <c r="L32" s="5" t="s">
        <v>60</v>
      </c>
      <c r="M32" s="3"/>
      <c r="N32" s="3"/>
      <c r="O32" s="3"/>
      <c r="P32" s="3"/>
      <c r="Q32" s="3"/>
      <c r="R32" s="3"/>
      <c r="S32" s="2"/>
      <c r="T32" s="2"/>
    </row>
    <row r="33" spans="1:20" ht="15" hidden="1" x14ac:dyDescent="0.25">
      <c r="A33" s="34" t="s">
        <v>59</v>
      </c>
      <c r="B33" s="33">
        <f>B31^2</f>
        <v>1684693.3149026362</v>
      </c>
      <c r="C33" s="33"/>
      <c r="D33" s="35" t="s">
        <v>58</v>
      </c>
      <c r="E33" s="38"/>
      <c r="F33" s="38"/>
      <c r="G33" s="38"/>
      <c r="H33" s="14"/>
      <c r="I33" s="14"/>
      <c r="J33" s="14"/>
      <c r="K33" s="3"/>
      <c r="L33" s="12" t="s">
        <v>57</v>
      </c>
      <c r="M33" s="5" t="e">
        <f>B22*I29^3+B23*I29^2+B24*I29+B25</f>
        <v>#NUM!</v>
      </c>
      <c r="N33" s="3"/>
      <c r="O33" s="3"/>
      <c r="P33" s="3"/>
      <c r="Q33" s="3"/>
      <c r="R33" s="3"/>
      <c r="S33" s="2"/>
      <c r="T33" s="2"/>
    </row>
    <row r="34" spans="1:20" ht="15.75" hidden="1" x14ac:dyDescent="0.3">
      <c r="A34" s="34" t="s">
        <v>56</v>
      </c>
      <c r="B34" s="33">
        <f>B32+B33</f>
        <v>-0.16518227313645184</v>
      </c>
      <c r="C34" s="33"/>
      <c r="D34" s="33" t="s">
        <v>55</v>
      </c>
      <c r="E34" s="36" t="s">
        <v>54</v>
      </c>
      <c r="F34" s="36" t="s">
        <v>53</v>
      </c>
      <c r="G34" s="33"/>
      <c r="H34" s="3" t="s">
        <v>14</v>
      </c>
      <c r="I34" s="13" t="s">
        <v>54</v>
      </c>
      <c r="J34" s="13" t="s">
        <v>53</v>
      </c>
      <c r="K34" s="3"/>
      <c r="L34" s="3" t="s">
        <v>52</v>
      </c>
      <c r="M34" s="3" t="e">
        <f>B22*Q30</f>
        <v>#NUM!</v>
      </c>
      <c r="N34" s="3" t="e">
        <f>B22*R30</f>
        <v>#NUM!</v>
      </c>
      <c r="O34" s="3"/>
      <c r="P34" s="3" t="s">
        <v>51</v>
      </c>
      <c r="Q34" s="3" t="e">
        <f>B22*Q31</f>
        <v>#NUM!</v>
      </c>
      <c r="R34" s="3" t="e">
        <f>B22*R31</f>
        <v>#NUM!</v>
      </c>
      <c r="S34" s="2"/>
      <c r="T34" s="2"/>
    </row>
    <row r="35" spans="1:20" ht="15.75" hidden="1" x14ac:dyDescent="0.3">
      <c r="A35" s="34" t="s">
        <v>50</v>
      </c>
      <c r="B35" s="33" t="e">
        <f>SQRT(B34)</f>
        <v>#NUM!</v>
      </c>
      <c r="C35" s="33"/>
      <c r="D35" s="34" t="s">
        <v>49</v>
      </c>
      <c r="E35" s="36" t="e">
        <f>IF(I29&gt;0,"+","-")</f>
        <v>#NUM!</v>
      </c>
      <c r="F35" s="36"/>
      <c r="G35" s="33"/>
      <c r="H35" s="4" t="s">
        <v>49</v>
      </c>
      <c r="I35" s="3" t="e">
        <f>FIXED(ABS(I29),C93,TRUE)</f>
        <v>#NUM!</v>
      </c>
      <c r="J35" s="3"/>
      <c r="K35" s="3"/>
      <c r="L35" s="3" t="s">
        <v>48</v>
      </c>
      <c r="M35" s="3" t="e">
        <f>B23*M30</f>
        <v>#NUM!</v>
      </c>
      <c r="N35" s="3" t="e">
        <f>B23*N30</f>
        <v>#NUM!</v>
      </c>
      <c r="O35" s="3"/>
      <c r="P35" s="3" t="s">
        <v>47</v>
      </c>
      <c r="Q35" s="3" t="e">
        <f>B23*M31</f>
        <v>#NUM!</v>
      </c>
      <c r="R35" s="3" t="e">
        <f>B23*N31</f>
        <v>#NUM!</v>
      </c>
      <c r="S35" s="2"/>
      <c r="T35" s="2"/>
    </row>
    <row r="36" spans="1:20" ht="15.75" hidden="1" x14ac:dyDescent="0.3">
      <c r="A36" s="34" t="s">
        <v>46</v>
      </c>
      <c r="B36" s="33" t="e">
        <f>(-B31+B35)^(1/3)</f>
        <v>#NUM!</v>
      </c>
      <c r="C36" s="33"/>
      <c r="D36" s="34" t="s">
        <v>45</v>
      </c>
      <c r="E36" s="36" t="e">
        <f>IF(I30&gt;0,"+","-")</f>
        <v>#NUM!</v>
      </c>
      <c r="F36" s="36" t="e">
        <f>IF(J30&gt;0,"+","-")</f>
        <v>#NUM!</v>
      </c>
      <c r="G36" s="33"/>
      <c r="H36" s="4" t="s">
        <v>45</v>
      </c>
      <c r="I36" s="3" t="e">
        <f>FIXED(ABS(I30),C93,TRUE)</f>
        <v>#NUM!</v>
      </c>
      <c r="J36" s="3" t="e">
        <f>FIXED(ABS(J30),C93,TRUE)</f>
        <v>#NUM!</v>
      </c>
      <c r="K36" s="3"/>
      <c r="L36" s="3" t="s">
        <v>44</v>
      </c>
      <c r="M36" s="3" t="e">
        <f>B24*I30</f>
        <v>#NUM!</v>
      </c>
      <c r="N36" s="3" t="e">
        <f>B24*J30</f>
        <v>#NUM!</v>
      </c>
      <c r="O36" s="3"/>
      <c r="P36" s="3" t="s">
        <v>43</v>
      </c>
      <c r="Q36" s="3" t="e">
        <f>B24*I31</f>
        <v>#NUM!</v>
      </c>
      <c r="R36" s="3" t="e">
        <f>B24*J31</f>
        <v>#NUM!</v>
      </c>
      <c r="S36" s="2"/>
      <c r="T36" s="2"/>
    </row>
    <row r="37" spans="1:20" hidden="1" x14ac:dyDescent="0.2">
      <c r="A37" s="34" t="s">
        <v>42</v>
      </c>
      <c r="B37" s="33" t="e">
        <f>(-B31-B35)^(1/3)</f>
        <v>#NUM!</v>
      </c>
      <c r="C37" s="33"/>
      <c r="D37" s="34" t="s">
        <v>41</v>
      </c>
      <c r="E37" s="36" t="e">
        <f>IF(I31&gt;0,"+","-")</f>
        <v>#NUM!</v>
      </c>
      <c r="F37" s="36" t="e">
        <f>IF(J31&gt;0,"+","-")</f>
        <v>#NUM!</v>
      </c>
      <c r="G37" s="33"/>
      <c r="H37" s="4" t="s">
        <v>41</v>
      </c>
      <c r="I37" s="3" t="e">
        <f>FIXED(ABS(I31),C93,TRUE)</f>
        <v>#NUM!</v>
      </c>
      <c r="J37" s="3" t="e">
        <f>FIXED(ABS(J31),C93,TRUE)</f>
        <v>#NUM!</v>
      </c>
      <c r="K37" s="3"/>
      <c r="L37" s="3" t="s">
        <v>40</v>
      </c>
      <c r="M37" s="3">
        <f>B25</f>
        <v>-2.0544104577036246E-2</v>
      </c>
      <c r="N37" s="3"/>
      <c r="O37" s="3"/>
      <c r="P37" s="3" t="s">
        <v>40</v>
      </c>
      <c r="Q37" s="3">
        <f>B25</f>
        <v>-2.0544104577036246E-2</v>
      </c>
      <c r="R37" s="3"/>
      <c r="S37" s="2"/>
      <c r="T37" s="2"/>
    </row>
    <row r="38" spans="1:20" ht="14.25" hidden="1" x14ac:dyDescent="0.25">
      <c r="A38" s="34" t="s">
        <v>39</v>
      </c>
      <c r="B38" s="33" t="e">
        <f>B36+B37</f>
        <v>#NUM!</v>
      </c>
      <c r="C38" s="33"/>
      <c r="D38" s="33"/>
      <c r="E38" s="33"/>
      <c r="F38" s="33"/>
      <c r="G38" s="33"/>
      <c r="H38" s="3"/>
      <c r="I38" s="3"/>
      <c r="J38" s="3"/>
      <c r="K38" s="3"/>
      <c r="L38" s="12" t="s">
        <v>38</v>
      </c>
      <c r="M38" s="5" t="e">
        <f>SUM(M34:M37)</f>
        <v>#NUM!</v>
      </c>
      <c r="N38" s="5" t="e">
        <f>SUM(N34:N37)</f>
        <v>#NUM!</v>
      </c>
      <c r="O38" s="3"/>
      <c r="P38" s="12" t="s">
        <v>37</v>
      </c>
      <c r="Q38" s="5" t="e">
        <f>SUM(Q34:Q37)</f>
        <v>#NUM!</v>
      </c>
      <c r="R38" s="5" t="e">
        <f>SUM(R34:R37)</f>
        <v>#NUM!</v>
      </c>
      <c r="S38" s="2"/>
      <c r="T38" s="2"/>
    </row>
    <row r="39" spans="1:20" hidden="1" x14ac:dyDescent="0.2">
      <c r="A39" s="34" t="s">
        <v>36</v>
      </c>
      <c r="B39" s="33" t="e">
        <f>0.5*B38</f>
        <v>#NUM!</v>
      </c>
      <c r="C39" s="33"/>
      <c r="D39" s="33"/>
      <c r="E39" s="33"/>
      <c r="F39" s="31" t="s">
        <v>35</v>
      </c>
      <c r="G39" s="3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  <c r="T39" s="2"/>
    </row>
    <row r="40" spans="1:20" hidden="1" x14ac:dyDescent="0.2">
      <c r="A40" s="34" t="s">
        <v>34</v>
      </c>
      <c r="B40" s="33" t="e">
        <f>0.5*(B36-B37)</f>
        <v>#NUM!</v>
      </c>
      <c r="C40" s="33"/>
      <c r="D40" s="33"/>
      <c r="E40" s="33"/>
      <c r="F40" s="33" t="s">
        <v>33</v>
      </c>
      <c r="G40" s="33" t="e">
        <f>E35&amp;I35</f>
        <v>#NUM!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2"/>
    </row>
    <row r="41" spans="1:20" hidden="1" x14ac:dyDescent="0.2">
      <c r="A41" s="33"/>
      <c r="B41" s="33"/>
      <c r="C41" s="33"/>
      <c r="D41" s="33"/>
      <c r="E41" s="33"/>
      <c r="F41" s="33" t="s">
        <v>32</v>
      </c>
      <c r="G41" s="33" t="e">
        <f>E36&amp;I36&amp;F36&amp;J36&amp;"j"</f>
        <v>#NUM!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/>
      <c r="T41" s="2"/>
    </row>
    <row r="42" spans="1:20" hidden="1" x14ac:dyDescent="0.2">
      <c r="A42" s="39"/>
      <c r="B42" s="39"/>
      <c r="C42" s="39"/>
      <c r="D42" s="39"/>
      <c r="E42" s="39"/>
      <c r="F42" s="39" t="s">
        <v>31</v>
      </c>
      <c r="G42" s="39" t="e">
        <f>E37&amp;I37&amp;F37&amp;J37&amp;"j"</f>
        <v>#NUM!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"/>
      <c r="T42" s="2"/>
    </row>
    <row r="43" spans="1:20" ht="13.5" hidden="1" thickBot="1" x14ac:dyDescent="0.25">
      <c r="A43" s="40"/>
      <c r="B43" s="40"/>
      <c r="C43" s="40"/>
      <c r="D43" s="40"/>
      <c r="E43" s="40"/>
      <c r="F43" s="40"/>
      <c r="G43" s="4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"/>
      <c r="T43" s="2"/>
    </row>
    <row r="44" spans="1:20" hidden="1" x14ac:dyDescent="0.2">
      <c r="A44" s="41" t="s">
        <v>30</v>
      </c>
      <c r="B44" s="42"/>
      <c r="C44" s="42"/>
      <c r="D44" s="42"/>
      <c r="E44" s="42"/>
      <c r="F44" s="42"/>
      <c r="G44" s="4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2"/>
      <c r="T44" s="2"/>
    </row>
    <row r="45" spans="1:20" ht="15.75" hidden="1" x14ac:dyDescent="0.3">
      <c r="A45" s="33" t="s">
        <v>29</v>
      </c>
      <c r="B45" s="33"/>
      <c r="C45" s="33"/>
      <c r="D45" s="34" t="s">
        <v>28</v>
      </c>
      <c r="E45" s="33">
        <f>2*SQRT(B47)*COS(B52)</f>
        <v>21.816419495566912</v>
      </c>
      <c r="F45" s="34" t="s">
        <v>2</v>
      </c>
      <c r="G45" s="33">
        <f>E45-(B23)/(3*B22)</f>
        <v>32.749752828900249</v>
      </c>
      <c r="H45" s="3"/>
      <c r="I45" s="3"/>
      <c r="J45" s="3"/>
      <c r="K45" s="3"/>
      <c r="L45" s="5" t="s">
        <v>27</v>
      </c>
      <c r="M45" s="3"/>
      <c r="N45" s="3"/>
      <c r="O45" s="3"/>
      <c r="P45" s="3"/>
      <c r="Q45" s="3"/>
      <c r="R45" s="3"/>
      <c r="S45" s="2"/>
      <c r="T45" s="2"/>
    </row>
    <row r="46" spans="1:20" ht="15.75" hidden="1" x14ac:dyDescent="0.3">
      <c r="A46" s="33" t="s">
        <v>26</v>
      </c>
      <c r="B46" s="33">
        <f>B31</f>
        <v>-1297.9573625133594</v>
      </c>
      <c r="C46" s="33"/>
      <c r="D46" s="34" t="s">
        <v>25</v>
      </c>
      <c r="E46" s="33">
        <f>-2*SQRT(B47)*COS(B53)</f>
        <v>-10.910181780579325</v>
      </c>
      <c r="F46" s="34" t="s">
        <v>1</v>
      </c>
      <c r="G46" s="43">
        <f>E46-(B23)/(3*B22)</f>
        <v>2.3151552754010041E-2</v>
      </c>
      <c r="H46" s="3"/>
      <c r="I46" s="3"/>
      <c r="J46" s="3"/>
      <c r="K46" s="3"/>
      <c r="L46" s="3" t="s">
        <v>24</v>
      </c>
      <c r="M46" s="8">
        <f>B22*G45^3+B23*G45^2+B24*G45+B25</f>
        <v>1.0073511469421703E-11</v>
      </c>
      <c r="N46" s="3"/>
      <c r="O46" s="3"/>
      <c r="P46" s="3"/>
      <c r="Q46" s="3"/>
      <c r="R46" s="3"/>
      <c r="S46" s="2"/>
      <c r="T46" s="2"/>
    </row>
    <row r="47" spans="1:20" ht="15.75" hidden="1" x14ac:dyDescent="0.3">
      <c r="A47" s="44" t="s">
        <v>23</v>
      </c>
      <c r="B47" s="33">
        <f>ABS(B28)/3</f>
        <v>118.98904119794243</v>
      </c>
      <c r="C47" s="33"/>
      <c r="D47" s="34" t="s">
        <v>22</v>
      </c>
      <c r="E47" s="33">
        <f>-2*SQRT(B47)*COS(B54)</f>
        <v>-10.906237714987588</v>
      </c>
      <c r="F47" s="34" t="s">
        <v>0</v>
      </c>
      <c r="G47" s="33">
        <f>E47-(B23)/(3*B22)</f>
        <v>2.7095618345747141E-2</v>
      </c>
      <c r="H47" s="3"/>
      <c r="I47" s="3"/>
      <c r="J47" s="3"/>
      <c r="K47" s="3"/>
      <c r="L47" s="3" t="s">
        <v>21</v>
      </c>
      <c r="M47" s="8">
        <f>B22*G46^3+B23*G46^2+B24*G46+B25</f>
        <v>3.8319347694937278E-13</v>
      </c>
      <c r="N47" s="3"/>
      <c r="O47" s="3"/>
      <c r="P47" s="3"/>
      <c r="Q47" s="3"/>
      <c r="R47" s="3"/>
      <c r="S47" s="2"/>
      <c r="T47" s="2"/>
    </row>
    <row r="48" spans="1:20" ht="15.75" hidden="1" x14ac:dyDescent="0.3">
      <c r="A48" s="44" t="s">
        <v>20</v>
      </c>
      <c r="B48" s="33">
        <f>B47^3</f>
        <v>1684693.4800849094</v>
      </c>
      <c r="C48" s="33"/>
      <c r="D48" s="33"/>
      <c r="E48" s="33"/>
      <c r="F48" s="33"/>
      <c r="G48" s="33"/>
      <c r="H48" s="3"/>
      <c r="I48" s="3"/>
      <c r="J48" s="3"/>
      <c r="K48" s="3"/>
      <c r="L48" s="3" t="s">
        <v>19</v>
      </c>
      <c r="M48" s="8">
        <f>B22*G47^3+B23*G47^2+B24*G47+B25</f>
        <v>3.8359940224275135E-13</v>
      </c>
      <c r="N48" s="3"/>
      <c r="O48" s="3"/>
      <c r="P48" s="3"/>
      <c r="Q48" s="3"/>
      <c r="R48" s="3"/>
      <c r="S48" s="2"/>
      <c r="T48" s="2"/>
    </row>
    <row r="49" spans="1:20" ht="14.25" hidden="1" x14ac:dyDescent="0.2">
      <c r="A49" s="33" t="s">
        <v>18</v>
      </c>
      <c r="B49" s="33">
        <f>SQRT(B48)</f>
        <v>1297.9574261449832</v>
      </c>
      <c r="C49" s="33"/>
      <c r="D49" s="35" t="s">
        <v>17</v>
      </c>
      <c r="E49" s="35"/>
      <c r="F49" s="35"/>
      <c r="G49" s="35"/>
      <c r="H49" s="7"/>
      <c r="I49" s="7"/>
      <c r="J49" s="7"/>
      <c r="K49" s="3"/>
      <c r="L49" s="3"/>
      <c r="M49" s="3"/>
      <c r="N49" s="3"/>
      <c r="O49" s="3"/>
      <c r="P49" s="3"/>
      <c r="Q49" s="3"/>
      <c r="R49" s="3"/>
      <c r="S49" s="2"/>
      <c r="T49" s="2"/>
    </row>
    <row r="50" spans="1:20" hidden="1" x14ac:dyDescent="0.2">
      <c r="A50" s="45" t="s">
        <v>16</v>
      </c>
      <c r="B50" s="46">
        <f>ACOS(-B46/B49)</f>
        <v>3.1312754917678376E-4</v>
      </c>
      <c r="C50" s="33"/>
      <c r="D50" s="33" t="s">
        <v>15</v>
      </c>
      <c r="E50" s="33"/>
      <c r="F50" s="33"/>
      <c r="G50" s="33" t="s">
        <v>14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"/>
      <c r="T50" s="2"/>
    </row>
    <row r="51" spans="1:20" ht="15.75" hidden="1" x14ac:dyDescent="0.3">
      <c r="A51" s="33" t="s">
        <v>13</v>
      </c>
      <c r="B51" s="33">
        <f>RADIANS(60)</f>
        <v>1.0471975511965976</v>
      </c>
      <c r="C51" s="33"/>
      <c r="D51" s="34" t="s">
        <v>12</v>
      </c>
      <c r="E51" s="33" t="str">
        <f>IF(G45&gt;0,"+","-")</f>
        <v>+</v>
      </c>
      <c r="F51" s="33"/>
      <c r="G51" s="34" t="s">
        <v>11</v>
      </c>
      <c r="H51" s="3" t="str">
        <f>FIXED(ABS(G45),$C$93,TRUE)</f>
        <v>32.7498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2"/>
      <c r="T51" s="2"/>
    </row>
    <row r="52" spans="1:20" ht="15.75" hidden="1" x14ac:dyDescent="0.3">
      <c r="A52" s="47" t="s">
        <v>10</v>
      </c>
      <c r="B52" s="33">
        <f>B50/3</f>
        <v>1.0437584972559459E-4</v>
      </c>
      <c r="C52" s="33"/>
      <c r="D52" s="34" t="s">
        <v>9</v>
      </c>
      <c r="E52" s="33" t="str">
        <f>IF(G46&gt;0,"+","-")</f>
        <v>+</v>
      </c>
      <c r="F52" s="33"/>
      <c r="G52" s="34" t="s">
        <v>8</v>
      </c>
      <c r="H52" s="3" t="str">
        <f>FIXED(ABS(G46),$C$93,TRUE)</f>
        <v>0.0232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2"/>
      <c r="T52" s="2"/>
    </row>
    <row r="53" spans="1:20" ht="15.75" hidden="1" x14ac:dyDescent="0.3">
      <c r="A53" s="45" t="s">
        <v>7</v>
      </c>
      <c r="B53" s="44">
        <f>(B50/3)-B51</f>
        <v>-1.047093175346872</v>
      </c>
      <c r="C53" s="33"/>
      <c r="D53" s="34" t="s">
        <v>6</v>
      </c>
      <c r="E53" s="33" t="str">
        <f>IF(G47&gt;0,"+","-")</f>
        <v>+</v>
      </c>
      <c r="F53" s="33"/>
      <c r="G53" s="34" t="s">
        <v>5</v>
      </c>
      <c r="H53" s="3" t="str">
        <f>FIXED(ABS(G47),$C$93,TRUE)</f>
        <v>0.0271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2"/>
      <c r="T53" s="2"/>
    </row>
    <row r="54" spans="1:20" ht="14.25" hidden="1" x14ac:dyDescent="0.2">
      <c r="A54" s="45" t="s">
        <v>4</v>
      </c>
      <c r="B54" s="44">
        <f>(B50/3)+B51</f>
        <v>1.0473019270463233</v>
      </c>
      <c r="C54" s="33"/>
      <c r="D54" s="33"/>
      <c r="E54" s="33"/>
      <c r="F54" s="33"/>
      <c r="G54" s="3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  <c r="T54" s="2"/>
    </row>
    <row r="55" spans="1:20" hidden="1" x14ac:dyDescent="0.2">
      <c r="A55" s="33"/>
      <c r="B55" s="33"/>
      <c r="C55" s="33"/>
      <c r="D55" s="31" t="s">
        <v>3</v>
      </c>
      <c r="E55" s="33"/>
      <c r="F55" s="33"/>
      <c r="G55" s="3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2"/>
      <c r="T55" s="2"/>
    </row>
    <row r="56" spans="1:20" ht="15.75" hidden="1" x14ac:dyDescent="0.3">
      <c r="A56" s="33"/>
      <c r="B56" s="33"/>
      <c r="C56" s="33"/>
      <c r="D56" s="34" t="s">
        <v>2</v>
      </c>
      <c r="E56" s="34" t="str">
        <f>E51&amp;H51</f>
        <v>+32.7498</v>
      </c>
      <c r="F56" s="33"/>
      <c r="G56" s="3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  <c r="T56" s="2"/>
    </row>
    <row r="57" spans="1:20" ht="15.75" hidden="1" x14ac:dyDescent="0.3">
      <c r="A57" s="33"/>
      <c r="B57" s="33"/>
      <c r="C57" s="33"/>
      <c r="D57" s="34" t="s">
        <v>1</v>
      </c>
      <c r="E57" s="34" t="str">
        <f>E52&amp;H52</f>
        <v>+0.0232</v>
      </c>
      <c r="F57" s="33"/>
      <c r="G57" s="3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  <c r="T57" s="2"/>
    </row>
    <row r="58" spans="1:20" ht="15.75" hidden="1" x14ac:dyDescent="0.3">
      <c r="A58" s="33"/>
      <c r="B58" s="33"/>
      <c r="C58" s="33"/>
      <c r="D58" s="34" t="s">
        <v>0</v>
      </c>
      <c r="E58" s="34" t="str">
        <f>E53&amp;H53</f>
        <v>+0.0271</v>
      </c>
      <c r="F58" s="33"/>
      <c r="G58" s="3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"/>
      <c r="T58" s="2"/>
    </row>
    <row r="59" spans="1:20" hidden="1" x14ac:dyDescent="0.2"/>
    <row r="60" spans="1:20" hidden="1" x14ac:dyDescent="0.2">
      <c r="A60" s="28"/>
      <c r="B60" s="28"/>
      <c r="C60" s="28"/>
      <c r="D60" s="28"/>
      <c r="E60" s="28"/>
      <c r="F60" s="28"/>
      <c r="G60" s="28"/>
    </row>
    <row r="61" spans="1:20" hidden="1" x14ac:dyDescent="0.2">
      <c r="A61" s="28"/>
      <c r="B61" s="28"/>
      <c r="C61" s="28"/>
      <c r="D61" s="28"/>
      <c r="E61" s="28"/>
      <c r="F61" s="28"/>
      <c r="G61" s="28"/>
    </row>
    <row r="62" spans="1:20" hidden="1" x14ac:dyDescent="0.2">
      <c r="A62" s="28"/>
      <c r="B62" s="28"/>
      <c r="C62" s="28"/>
      <c r="D62" s="28"/>
      <c r="E62" s="28"/>
      <c r="F62" s="28"/>
      <c r="G62" s="28"/>
    </row>
    <row r="63" spans="1:20" hidden="1" x14ac:dyDescent="0.2">
      <c r="A63" s="28"/>
      <c r="B63" s="28"/>
      <c r="C63" s="28"/>
      <c r="D63" s="28"/>
      <c r="E63" s="28"/>
      <c r="F63" s="28"/>
      <c r="G63" s="28"/>
    </row>
    <row r="64" spans="1:20" hidden="1" x14ac:dyDescent="0.2">
      <c r="A64" s="28"/>
      <c r="B64" s="28"/>
      <c r="C64" s="28"/>
      <c r="D64" s="28"/>
      <c r="E64" s="28"/>
      <c r="F64" s="28"/>
      <c r="G64" s="28"/>
    </row>
    <row r="65" spans="1:7" hidden="1" x14ac:dyDescent="0.2">
      <c r="A65" s="28"/>
      <c r="B65" s="28"/>
      <c r="C65" s="28"/>
      <c r="D65" s="28"/>
      <c r="E65" s="28"/>
      <c r="F65" s="28"/>
      <c r="G65" s="28"/>
    </row>
    <row r="66" spans="1:7" hidden="1" x14ac:dyDescent="0.2">
      <c r="A66" s="28"/>
      <c r="B66" s="28"/>
      <c r="C66" s="28"/>
      <c r="D66" s="28"/>
      <c r="E66" s="28"/>
      <c r="F66" s="28"/>
      <c r="G66" s="28"/>
    </row>
    <row r="67" spans="1:7" hidden="1" x14ac:dyDescent="0.2">
      <c r="A67" s="28"/>
      <c r="B67" s="28"/>
      <c r="C67" s="28"/>
      <c r="D67" s="28"/>
      <c r="E67" s="28"/>
      <c r="F67" s="28"/>
      <c r="G67" s="28"/>
    </row>
    <row r="68" spans="1:7" hidden="1" x14ac:dyDescent="0.2">
      <c r="A68" s="28"/>
      <c r="B68" s="28"/>
      <c r="C68" s="28"/>
      <c r="D68" s="28"/>
      <c r="E68" s="28"/>
      <c r="F68" s="28"/>
      <c r="G68" s="28"/>
    </row>
    <row r="69" spans="1:7" hidden="1" x14ac:dyDescent="0.2">
      <c r="A69" s="28"/>
      <c r="B69" s="28"/>
      <c r="C69" s="28"/>
      <c r="D69" s="28"/>
      <c r="E69" s="28"/>
      <c r="F69" s="28"/>
      <c r="G69" s="28"/>
    </row>
    <row r="70" spans="1:7" hidden="1" x14ac:dyDescent="0.2">
      <c r="A70" s="28"/>
      <c r="B70" s="28"/>
      <c r="C70" s="28"/>
      <c r="D70" s="28"/>
      <c r="E70" s="28"/>
      <c r="F70" s="28"/>
      <c r="G70" s="28"/>
    </row>
    <row r="71" spans="1:7" hidden="1" x14ac:dyDescent="0.2">
      <c r="A71" s="28"/>
      <c r="B71" s="28"/>
      <c r="C71" s="28"/>
      <c r="D71" s="28"/>
      <c r="E71" s="28"/>
      <c r="F71" s="28"/>
      <c r="G71" s="28"/>
    </row>
    <row r="72" spans="1:7" hidden="1" x14ac:dyDescent="0.2">
      <c r="A72" s="28"/>
      <c r="B72" s="28"/>
      <c r="C72" s="28"/>
      <c r="D72" s="28"/>
      <c r="E72" s="28"/>
      <c r="F72" s="28"/>
      <c r="G72" s="28"/>
    </row>
    <row r="73" spans="1:7" hidden="1" x14ac:dyDescent="0.2">
      <c r="A73" s="28"/>
      <c r="B73" s="28"/>
      <c r="C73" s="28"/>
      <c r="D73" s="28"/>
      <c r="E73" s="28"/>
      <c r="F73" s="28"/>
      <c r="G73" s="28"/>
    </row>
    <row r="74" spans="1:7" hidden="1" x14ac:dyDescent="0.2">
      <c r="A74" s="28"/>
      <c r="B74" s="28"/>
      <c r="C74" s="28"/>
      <c r="D74" s="28"/>
      <c r="E74" s="28"/>
      <c r="F74" s="28"/>
      <c r="G74" s="28"/>
    </row>
    <row r="75" spans="1:7" hidden="1" x14ac:dyDescent="0.2">
      <c r="A75" s="28"/>
      <c r="B75" s="28"/>
      <c r="C75" s="28"/>
      <c r="D75" s="28"/>
      <c r="E75" s="28"/>
      <c r="F75" s="28"/>
      <c r="G75" s="28"/>
    </row>
    <row r="76" spans="1:7" hidden="1" x14ac:dyDescent="0.2">
      <c r="A76" s="28"/>
      <c r="B76" s="28"/>
      <c r="C76" s="28"/>
      <c r="D76" s="28"/>
      <c r="E76" s="28"/>
      <c r="F76" s="28"/>
      <c r="G76" s="28"/>
    </row>
    <row r="77" spans="1:7" hidden="1" x14ac:dyDescent="0.2">
      <c r="A77" s="28"/>
      <c r="B77" s="28"/>
      <c r="C77" s="28"/>
      <c r="D77" s="28"/>
      <c r="E77" s="28"/>
      <c r="F77" s="28"/>
      <c r="G77" s="28"/>
    </row>
    <row r="78" spans="1:7" hidden="1" x14ac:dyDescent="0.2">
      <c r="A78" s="28"/>
      <c r="B78" s="28"/>
      <c r="C78" s="28"/>
      <c r="D78" s="28"/>
      <c r="E78" s="28"/>
      <c r="F78" s="28"/>
      <c r="G78" s="28"/>
    </row>
    <row r="79" spans="1:7" hidden="1" x14ac:dyDescent="0.2">
      <c r="A79" s="28"/>
      <c r="B79" s="28"/>
      <c r="C79" s="28"/>
      <c r="D79" s="28"/>
      <c r="E79" s="28"/>
      <c r="F79" s="28"/>
      <c r="G79" s="28"/>
    </row>
    <row r="80" spans="1:7" hidden="1" x14ac:dyDescent="0.2">
      <c r="A80" s="28"/>
      <c r="B80" s="28"/>
      <c r="C80" s="28"/>
      <c r="D80" s="28"/>
      <c r="E80" s="28"/>
      <c r="F80" s="28"/>
      <c r="G80" s="28"/>
    </row>
    <row r="81" spans="1:8" hidden="1" x14ac:dyDescent="0.2">
      <c r="A81" s="28"/>
      <c r="B81" s="28"/>
      <c r="C81" s="28"/>
      <c r="D81" s="28"/>
      <c r="E81" s="28"/>
      <c r="F81" s="28"/>
      <c r="G81" s="28"/>
    </row>
    <row r="82" spans="1:8" hidden="1" x14ac:dyDescent="0.2">
      <c r="A82" s="28"/>
      <c r="B82" s="28"/>
      <c r="C82" s="28"/>
      <c r="D82" s="28"/>
      <c r="E82" s="28"/>
      <c r="F82" s="28"/>
      <c r="G82" s="28"/>
    </row>
    <row r="83" spans="1:8" hidden="1" x14ac:dyDescent="0.2">
      <c r="A83" s="28"/>
      <c r="B83" s="28"/>
      <c r="C83" s="28"/>
      <c r="D83" s="28"/>
      <c r="E83" s="28"/>
      <c r="F83" s="28"/>
      <c r="G83" s="28"/>
    </row>
    <row r="84" spans="1:8" hidden="1" x14ac:dyDescent="0.2">
      <c r="A84" s="28"/>
      <c r="B84" s="28"/>
      <c r="C84" s="28"/>
      <c r="D84" s="28"/>
      <c r="E84" s="28"/>
      <c r="F84" s="28"/>
      <c r="G84" s="28"/>
    </row>
    <row r="85" spans="1:8" x14ac:dyDescent="0.2">
      <c r="A85" s="28"/>
      <c r="B85" s="28"/>
      <c r="C85" s="28"/>
      <c r="D85" s="28"/>
      <c r="E85" s="28"/>
      <c r="F85" s="28"/>
      <c r="G85" s="28"/>
    </row>
    <row r="86" spans="1:8" ht="21" x14ac:dyDescent="0.25">
      <c r="A86" s="27" t="s">
        <v>107</v>
      </c>
      <c r="B86" s="27"/>
      <c r="C86" s="27"/>
      <c r="D86" s="27"/>
      <c r="E86" s="27"/>
      <c r="F86" s="27"/>
      <c r="G86" s="27"/>
    </row>
    <row r="87" spans="1:8" x14ac:dyDescent="0.2">
      <c r="A87" s="30" t="s">
        <v>84</v>
      </c>
      <c r="B87" s="30"/>
      <c r="C87" s="30"/>
      <c r="D87" s="30"/>
      <c r="E87" s="56"/>
      <c r="H87" s="29"/>
    </row>
    <row r="88" spans="1:8" ht="13.5" thickBot="1" x14ac:dyDescent="0.25">
      <c r="A88" s="2"/>
      <c r="G88" s="16"/>
    </row>
    <row r="89" spans="1:8" x14ac:dyDescent="0.2">
      <c r="A89" s="2"/>
      <c r="B89" s="25" t="s">
        <v>77</v>
      </c>
      <c r="C89" s="64">
        <f>A12</f>
        <v>1</v>
      </c>
      <c r="D89" s="19"/>
      <c r="E89" s="19"/>
      <c r="F89" s="2"/>
      <c r="G89" s="2"/>
    </row>
    <row r="90" spans="1:8" x14ac:dyDescent="0.2">
      <c r="A90" s="2"/>
      <c r="B90" s="24" t="s">
        <v>76</v>
      </c>
      <c r="C90" s="65">
        <f>B12</f>
        <v>-32.800000000000004</v>
      </c>
      <c r="D90" s="19"/>
      <c r="E90" s="19"/>
      <c r="F90" s="2"/>
      <c r="G90" s="2"/>
    </row>
    <row r="91" spans="1:8" x14ac:dyDescent="0.2">
      <c r="A91" s="2"/>
      <c r="B91" s="24" t="s">
        <v>75</v>
      </c>
      <c r="C91" s="65">
        <f>C12</f>
        <v>1.646209739506145</v>
      </c>
      <c r="D91" s="19"/>
      <c r="E91" s="19"/>
      <c r="F91" s="2"/>
      <c r="G91" s="2"/>
    </row>
    <row r="92" spans="1:8" ht="13.5" thickBot="1" x14ac:dyDescent="0.25">
      <c r="A92" s="2"/>
      <c r="B92" s="23" t="s">
        <v>56</v>
      </c>
      <c r="C92" s="66">
        <f>D12</f>
        <v>-2.0544104577036246E-2</v>
      </c>
      <c r="D92" s="19"/>
      <c r="E92" s="19"/>
      <c r="F92" s="2"/>
      <c r="G92" s="2"/>
    </row>
    <row r="93" spans="1:8" ht="13.5" thickBot="1" x14ac:dyDescent="0.25">
      <c r="B93" s="22" t="s">
        <v>82</v>
      </c>
      <c r="C93" s="21">
        <v>4</v>
      </c>
      <c r="D93" s="20" t="s">
        <v>81</v>
      </c>
      <c r="E93" s="19"/>
    </row>
    <row r="94" spans="1:8" ht="13.5" thickBot="1" x14ac:dyDescent="0.25">
      <c r="D94" s="2"/>
      <c r="E94" s="2"/>
      <c r="F94" s="2"/>
      <c r="G94" s="2"/>
    </row>
    <row r="95" spans="1:8" ht="13.5" thickBot="1" x14ac:dyDescent="0.25">
      <c r="A95" s="18"/>
      <c r="C95" s="58" t="s">
        <v>80</v>
      </c>
      <c r="D95" s="59" t="s">
        <v>79</v>
      </c>
      <c r="E95" s="2"/>
      <c r="F95" s="2"/>
      <c r="G95" s="2"/>
    </row>
    <row r="96" spans="1:8" ht="20.25" thickTop="1" thickBot="1" x14ac:dyDescent="0.4">
      <c r="A96" s="18"/>
      <c r="B96" s="94" t="s">
        <v>122</v>
      </c>
      <c r="C96" s="67">
        <f t="shared" ref="C96:D98" si="0">IF($B$34&lt;0,G45,I29)</f>
        <v>32.749752828900249</v>
      </c>
      <c r="D96" s="60">
        <f t="shared" si="0"/>
        <v>0</v>
      </c>
      <c r="E96" s="2"/>
      <c r="F96" s="2"/>
      <c r="G96" s="2"/>
    </row>
    <row r="97" spans="1:7" ht="20.25" thickTop="1" thickBot="1" x14ac:dyDescent="0.4">
      <c r="A97" s="18"/>
      <c r="B97" s="94" t="s">
        <v>123</v>
      </c>
      <c r="C97" s="68">
        <f t="shared" si="0"/>
        <v>2.3151552754010041E-2</v>
      </c>
      <c r="D97" s="61">
        <f t="shared" si="0"/>
        <v>0</v>
      </c>
      <c r="E97" s="2"/>
      <c r="F97" s="2"/>
      <c r="G97" s="2"/>
    </row>
    <row r="98" spans="1:7" ht="20.25" thickTop="1" thickBot="1" x14ac:dyDescent="0.4">
      <c r="A98" s="18"/>
      <c r="B98" s="94" t="s">
        <v>124</v>
      </c>
      <c r="C98" s="69">
        <f t="shared" si="0"/>
        <v>2.7095618345747141E-2</v>
      </c>
      <c r="D98" s="62">
        <f t="shared" si="0"/>
        <v>0</v>
      </c>
      <c r="E98" s="2"/>
      <c r="F98" s="2"/>
      <c r="G98" s="2"/>
    </row>
    <row r="99" spans="1:7" ht="13.5" thickTop="1" x14ac:dyDescent="0.2">
      <c r="A99" s="16"/>
      <c r="B99" s="2"/>
      <c r="C99" s="2"/>
      <c r="D99" s="2"/>
      <c r="E99" s="2"/>
      <c r="F99" s="2"/>
      <c r="G99" s="2"/>
    </row>
    <row r="100" spans="1:7" ht="13.5" thickBot="1" x14ac:dyDescent="0.25">
      <c r="A100" s="2"/>
      <c r="B100" s="17" t="s">
        <v>83</v>
      </c>
      <c r="C100" s="2"/>
      <c r="D100" s="2"/>
      <c r="E100" s="2"/>
      <c r="F100" s="2"/>
      <c r="G100" s="2"/>
    </row>
    <row r="101" spans="1:7" ht="20.25" thickTop="1" thickBot="1" x14ac:dyDescent="0.4">
      <c r="B101" s="94" t="s">
        <v>125</v>
      </c>
      <c r="C101" s="104" t="str">
        <f>IF(B34&lt;0,E56,G40)</f>
        <v>+32.7498</v>
      </c>
      <c r="D101" s="105"/>
      <c r="E101" s="105"/>
      <c r="F101" s="106"/>
      <c r="G101" s="2"/>
    </row>
    <row r="102" spans="1:7" ht="20.25" thickTop="1" thickBot="1" x14ac:dyDescent="0.4">
      <c r="A102" s="2"/>
      <c r="B102" s="94" t="s">
        <v>126</v>
      </c>
      <c r="C102" s="107" t="str">
        <f>IF(B34&lt;0,E57,G41)</f>
        <v>+0.0232</v>
      </c>
      <c r="D102" s="107"/>
      <c r="E102" s="107"/>
      <c r="F102" s="108"/>
      <c r="G102" s="2"/>
    </row>
    <row r="103" spans="1:7" ht="20.25" thickTop="1" thickBot="1" x14ac:dyDescent="0.4">
      <c r="A103" s="2"/>
      <c r="B103" s="94" t="s">
        <v>124</v>
      </c>
      <c r="C103" s="109" t="str">
        <f>IF(B34&lt;0,E58,G42)</f>
        <v>+0.0271</v>
      </c>
      <c r="D103" s="109"/>
      <c r="E103" s="109"/>
      <c r="F103" s="110"/>
      <c r="G103" s="2"/>
    </row>
    <row r="104" spans="1:7" ht="13.5" thickTop="1" x14ac:dyDescent="0.2">
      <c r="A104" s="2"/>
      <c r="B104" s="2"/>
      <c r="C104" s="2"/>
      <c r="D104" s="2"/>
      <c r="E104" s="2"/>
      <c r="F104" s="2"/>
      <c r="G104" s="2"/>
    </row>
    <row r="106" spans="1:7" x14ac:dyDescent="0.2">
      <c r="B106" s="63" t="s">
        <v>110</v>
      </c>
      <c r="C106" s="63"/>
      <c r="D106" s="63"/>
      <c r="E106" s="63"/>
      <c r="F106" s="55"/>
    </row>
    <row r="108" spans="1:7" x14ac:dyDescent="0.2">
      <c r="B108" s="92" t="s">
        <v>111</v>
      </c>
      <c r="C108" s="55"/>
      <c r="D108" s="55"/>
      <c r="E108" s="55"/>
      <c r="F108" s="55"/>
    </row>
  </sheetData>
  <sheetProtection algorithmName="SHA-512" hashValue="5Q3bWSmaaoQw6Td/QiFR/BrVFoLkgfDNi6ah8XDKQ4kj47g9ojzyXH0Ag9AZy5rKPe+QCZlTMdZp8YnQO59hLA==" saltValue="phoa7ekJsmFtcw+Nl522tw==" spinCount="100000" sheet="1" objects="1" selectLockedCells="1"/>
  <mergeCells count="3">
    <mergeCell ref="C101:F101"/>
    <mergeCell ref="C102:F102"/>
    <mergeCell ref="C103:F103"/>
  </mergeCells>
  <pageMargins left="0.75" right="0.75" top="1" bottom="1" header="0.5" footer="0.5"/>
  <pageSetup paperSize="9" orientation="portrait" horizontalDpi="150" verticalDpi="15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D7768-E575-4E92-81CC-DE7C5F333670}">
  <dimension ref="C1:E3"/>
  <sheetViews>
    <sheetView workbookViewId="0"/>
  </sheetViews>
  <sheetFormatPr baseColWidth="10" defaultRowHeight="15" x14ac:dyDescent="0.25"/>
  <sheetData>
    <row r="1" spans="3:5" x14ac:dyDescent="0.25">
      <c r="C1" t="s">
        <v>100</v>
      </c>
      <c r="D1" t="s">
        <v>89</v>
      </c>
      <c r="E1" t="s">
        <v>85</v>
      </c>
    </row>
    <row r="2" spans="3:5" x14ac:dyDescent="0.25">
      <c r="C2" t="s">
        <v>101</v>
      </c>
    </row>
    <row r="3" spans="3:5" x14ac:dyDescent="0.25">
      <c r="C3" t="s">
        <v>102</v>
      </c>
    </row>
  </sheetData>
  <pageMargins left="0.7" right="0.7" top="0.75" bottom="0.75" header="0.3" footer="0.3"/>
  <customProperties>
    <customPr name="SSC_SHEET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Presión </vt:lpstr>
      <vt:lpstr>Temperatura</vt:lpstr>
      <vt:lpstr>Volumen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drjva</cp:lastModifiedBy>
  <dcterms:created xsi:type="dcterms:W3CDTF">2018-10-08T19:52:04Z</dcterms:created>
  <dcterms:modified xsi:type="dcterms:W3CDTF">2019-10-14T21:11:29Z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e4b86da8-6142-4a54-a850-607af4bc5312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