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blog 2020-1\xls\"/>
    </mc:Choice>
  </mc:AlternateContent>
  <xr:revisionPtr revIDLastSave="0" documentId="13_ncr:1_{15A44C32-4516-4DB5-80E6-9EA00E5CFBE9}" xr6:coauthVersionLast="44" xr6:coauthVersionMax="44" xr10:uidLastSave="{00000000-0000-0000-0000-000000000000}"/>
  <bookViews>
    <workbookView xWindow="-120" yWindow="-120" windowWidth="38640" windowHeight="15990" xr2:uid="{00000000-000D-0000-FFFF-FFFF00000000}"/>
  </bookViews>
  <sheets>
    <sheet name="Temperatura de equilibrio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3" l="1"/>
  <c r="B8" i="3" s="1"/>
  <c r="B6" i="3"/>
  <c r="B11" i="3" s="1"/>
  <c r="C5" i="3"/>
  <c r="C10" i="3" s="1"/>
  <c r="C6" i="3"/>
  <c r="C9" i="3" s="1"/>
  <c r="C8" i="3" l="1"/>
  <c r="F8" i="3" s="1"/>
  <c r="C11" i="3"/>
  <c r="B15" i="3" s="1"/>
  <c r="B10" i="3"/>
  <c r="B9" i="3"/>
  <c r="E9" i="3" s="1"/>
  <c r="A11" i="3"/>
  <c r="A10" i="3"/>
  <c r="F9" i="3"/>
  <c r="A9" i="3"/>
  <c r="D9" i="3" s="1"/>
  <c r="E8" i="3"/>
  <c r="A8" i="3"/>
  <c r="D8" i="3" s="1"/>
  <c r="C15" i="3" l="1"/>
  <c r="E15" i="3"/>
  <c r="C92" i="3" s="1"/>
  <c r="D15" i="3"/>
  <c r="B25" i="3" l="1"/>
  <c r="C91" i="3"/>
  <c r="B24" i="3" s="1"/>
  <c r="C90" i="3"/>
  <c r="B23" i="3" s="1"/>
  <c r="C89" i="3"/>
  <c r="B22" i="3" s="1"/>
  <c r="B51" i="3"/>
  <c r="B28" i="3" l="1"/>
  <c r="B29" i="3"/>
  <c r="B31" i="3" s="1"/>
  <c r="Q37" i="3"/>
  <c r="M37" i="3"/>
  <c r="B33" i="3" l="1"/>
  <c r="B46" i="3"/>
  <c r="B47" i="3"/>
  <c r="B30" i="3"/>
  <c r="B32" i="3" s="1"/>
  <c r="B34" i="3" l="1"/>
  <c r="D98" i="3" s="1"/>
  <c r="B48" i="3"/>
  <c r="B49" i="3" s="1"/>
  <c r="B50" i="3" s="1"/>
  <c r="D96" i="3" l="1"/>
  <c r="B35" i="3"/>
  <c r="B36" i="3" s="1"/>
  <c r="D97" i="3"/>
  <c r="B54" i="3"/>
  <c r="E47" i="3" s="1"/>
  <c r="G47" i="3" s="1"/>
  <c r="B53" i="3"/>
  <c r="E46" i="3" s="1"/>
  <c r="G46" i="3" s="1"/>
  <c r="B52" i="3"/>
  <c r="E45" i="3" s="1"/>
  <c r="G45" i="3" s="1"/>
  <c r="B37" i="3" l="1"/>
  <c r="B40" i="3" s="1"/>
  <c r="E51" i="3"/>
  <c r="H51" i="3"/>
  <c r="M46" i="3"/>
  <c r="C96" i="3"/>
  <c r="E52" i="3"/>
  <c r="H52" i="3"/>
  <c r="M47" i="3"/>
  <c r="C97" i="3"/>
  <c r="H53" i="3"/>
  <c r="E53" i="3"/>
  <c r="M48" i="3"/>
  <c r="C98" i="3"/>
  <c r="B38" i="3" l="1"/>
  <c r="E29" i="3" s="1"/>
  <c r="I29" i="3" s="1"/>
  <c r="E57" i="3"/>
  <c r="C102" i="3" s="1"/>
  <c r="E58" i="3"/>
  <c r="C103" i="3" s="1"/>
  <c r="E56" i="3"/>
  <c r="C101" i="3" s="1"/>
  <c r="F30" i="3"/>
  <c r="J30" i="3" s="1"/>
  <c r="F31" i="3"/>
  <c r="J31" i="3" s="1"/>
  <c r="B39" i="3" l="1"/>
  <c r="E31" i="3" s="1"/>
  <c r="I31" i="3" s="1"/>
  <c r="E35" i="3"/>
  <c r="I35" i="3"/>
  <c r="M33" i="3"/>
  <c r="F37" i="3"/>
  <c r="J37" i="3"/>
  <c r="R36" i="3"/>
  <c r="J36" i="3"/>
  <c r="F36" i="3"/>
  <c r="N36" i="3"/>
  <c r="E30" i="3" l="1"/>
  <c r="I30" i="3" s="1"/>
  <c r="E36" i="3" s="1"/>
  <c r="G40" i="3"/>
  <c r="E37" i="3"/>
  <c r="R31" i="3"/>
  <c r="R34" i="3" s="1"/>
  <c r="R38" i="3" s="1"/>
  <c r="Q31" i="3"/>
  <c r="Q34" i="3" s="1"/>
  <c r="Q38" i="3" s="1"/>
  <c r="N31" i="3"/>
  <c r="R35" i="3" s="1"/>
  <c r="M31" i="3"/>
  <c r="Q35" i="3" s="1"/>
  <c r="I37" i="3"/>
  <c r="Q36" i="3"/>
  <c r="Q30" i="3" l="1"/>
  <c r="M34" i="3" s="1"/>
  <c r="M38" i="3" s="1"/>
  <c r="M36" i="3"/>
  <c r="N30" i="3"/>
  <c r="N35" i="3" s="1"/>
  <c r="R30" i="3"/>
  <c r="N34" i="3" s="1"/>
  <c r="N38" i="3" s="1"/>
  <c r="M30" i="3"/>
  <c r="M35" i="3" s="1"/>
  <c r="I36" i="3"/>
  <c r="G41" i="3" s="1"/>
  <c r="G42" i="3"/>
</calcChain>
</file>

<file path=xl/sharedStrings.xml><?xml version="1.0" encoding="utf-8"?>
<sst xmlns="http://schemas.openxmlformats.org/spreadsheetml/2006/main" count="138" uniqueCount="110">
  <si>
    <t>a</t>
  </si>
  <si>
    <t>b</t>
  </si>
  <si>
    <t>c</t>
  </si>
  <si>
    <t>moles</t>
  </si>
  <si>
    <t>T</t>
  </si>
  <si>
    <t>gana</t>
  </si>
  <si>
    <t>pierde</t>
  </si>
  <si>
    <t>Introducir los valores en las celdas de color amarillo</t>
  </si>
  <si>
    <t>Cte</t>
  </si>
  <si>
    <t>Copies of A, B, C and D</t>
  </si>
  <si>
    <t>A=</t>
  </si>
  <si>
    <t>B=</t>
  </si>
  <si>
    <t>C=</t>
  </si>
  <si>
    <t>D=</t>
  </si>
  <si>
    <t>Formulae below if D&gt;0 of D=0</t>
  </si>
  <si>
    <t>Tussenresultaten</t>
  </si>
  <si>
    <t>p=</t>
  </si>
  <si>
    <t>re</t>
  </si>
  <si>
    <t>im</t>
  </si>
  <si>
    <t>Check</t>
  </si>
  <si>
    <t>q=</t>
  </si>
  <si>
    <t>y1=</t>
  </si>
  <si>
    <t>so</t>
  </si>
  <si>
    <t>x1=</t>
  </si>
  <si>
    <t>p/3=</t>
  </si>
  <si>
    <t>y2=</t>
  </si>
  <si>
    <t>x2=</t>
  </si>
  <si>
    <r>
      <t>x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2</t>
    </r>
  </si>
  <si>
    <r>
      <t>x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3</t>
    </r>
  </si>
  <si>
    <t>q/2=</t>
  </si>
  <si>
    <t>y3=</t>
  </si>
  <si>
    <t>x3=</t>
  </si>
  <si>
    <r>
      <t>x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2</t>
    </r>
  </si>
  <si>
    <r>
      <t>x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3</t>
    </r>
  </si>
  <si>
    <r>
      <t>(p/3)</t>
    </r>
    <r>
      <rPr>
        <vertAlign val="superscript"/>
        <sz val="10"/>
        <rFont val="Arial"/>
        <family val="2"/>
      </rPr>
      <t>3</t>
    </r>
  </si>
  <si>
    <t>Controle voor x1, x2 en x3: hier moeten, als D&gt;=0 nullen of "bijna nullen" staan</t>
  </si>
  <si>
    <r>
      <t>(q/2)</t>
    </r>
    <r>
      <rPr>
        <vertAlign val="superscript"/>
        <sz val="10"/>
        <rFont val="Arial"/>
        <family val="2"/>
      </rPr>
      <t>2</t>
    </r>
  </si>
  <si>
    <t xml:space="preserve">Convert results to text </t>
  </si>
  <si>
    <r>
      <t>x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ingevuld</t>
    </r>
  </si>
  <si>
    <t>Signs</t>
  </si>
  <si>
    <t>getal&gt;tekst</t>
  </si>
  <si>
    <r>
      <t>A*x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3</t>
    </r>
  </si>
  <si>
    <r>
      <t>A*x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3</t>
    </r>
  </si>
  <si>
    <r>
      <t>D</t>
    </r>
    <r>
      <rPr>
        <vertAlign val="superscript"/>
        <sz val="10"/>
        <rFont val="Arial"/>
        <family val="2"/>
      </rPr>
      <t>0,5</t>
    </r>
    <r>
      <rPr>
        <sz val="10"/>
        <rFont val="Arial"/>
        <family val="2"/>
      </rPr>
      <t>=</t>
    </r>
  </si>
  <si>
    <t>..of x1</t>
  </si>
  <si>
    <r>
      <t>B*x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2</t>
    </r>
  </si>
  <si>
    <r>
      <t>B*x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2</t>
    </r>
  </si>
  <si>
    <t>u=</t>
  </si>
  <si>
    <t>..of x2</t>
  </si>
  <si>
    <r>
      <t>C*x</t>
    </r>
    <r>
      <rPr>
        <vertAlign val="subscript"/>
        <sz val="10"/>
        <rFont val="Arial"/>
        <family val="2"/>
      </rPr>
      <t>2</t>
    </r>
  </si>
  <si>
    <r>
      <t>C*x</t>
    </r>
    <r>
      <rPr>
        <vertAlign val="subscript"/>
        <sz val="10"/>
        <rFont val="Arial"/>
        <family val="2"/>
      </rPr>
      <t>3</t>
    </r>
  </si>
  <si>
    <t>v=</t>
  </si>
  <si>
    <t>..of x3</t>
  </si>
  <si>
    <t>D</t>
  </si>
  <si>
    <t>u + v =</t>
  </si>
  <si>
    <r>
      <t>x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ingevuld</t>
    </r>
  </si>
  <si>
    <r>
      <t>x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ingevuld</t>
    </r>
  </si>
  <si>
    <t>(u+v ) / 2 =</t>
  </si>
  <si>
    <t>Results as text</t>
  </si>
  <si>
    <t>(u-v ) / 2 =</t>
  </si>
  <si>
    <t>D&lt;0</t>
  </si>
  <si>
    <r>
      <t>y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=</t>
    </r>
  </si>
  <si>
    <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=</t>
    </r>
  </si>
  <si>
    <t>Controle: hieronder moeten (als D&lt;0) nullen of "bijna nullen" staan</t>
  </si>
  <si>
    <r>
      <t>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</si>
  <si>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</si>
  <si>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ingevuld</t>
    </r>
  </si>
  <si>
    <t>|p|/3 =</t>
  </si>
  <si>
    <r>
      <t>y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=</t>
    </r>
  </si>
  <si>
    <r>
      <t>x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=</t>
    </r>
  </si>
  <si>
    <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ingevuld</t>
    </r>
  </si>
  <si>
    <r>
      <t>(|p|/3)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</si>
  <si>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r>
      <t>x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ingevuld</t>
    </r>
  </si>
  <si>
    <r>
      <t>(|p|/3)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0,5</t>
    </r>
    <r>
      <rPr>
        <sz val="10"/>
        <rFont val="Arial"/>
        <family val="2"/>
      </rPr>
      <t xml:space="preserve"> =</t>
    </r>
  </si>
  <si>
    <t>Voorbewerking om resultaten van x als tekst op te maken.</t>
  </si>
  <si>
    <r>
      <t xml:space="preserve">j </t>
    </r>
    <r>
      <rPr>
        <sz val="10"/>
        <rFont val="Arial"/>
        <family val="2"/>
      </rPr>
      <t xml:space="preserve"> (in rad.)=</t>
    </r>
  </si>
  <si>
    <t>Tekens..</t>
  </si>
  <si>
    <r>
      <t>60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 rad.=</t>
    </r>
  </si>
  <si>
    <r>
      <t>..van x</t>
    </r>
    <r>
      <rPr>
        <vertAlign val="subscript"/>
        <sz val="10"/>
        <rFont val="Arial"/>
        <family val="2"/>
      </rPr>
      <t>1</t>
    </r>
  </si>
  <si>
    <r>
      <t>..van 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</si>
  <si>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r>
      <t>j</t>
    </r>
    <r>
      <rPr>
        <sz val="10"/>
        <rFont val="Arial"/>
        <family val="2"/>
      </rPr>
      <t>/3</t>
    </r>
    <r>
      <rPr>
        <sz val="10"/>
        <rFont val="Symbol"/>
        <family val="1"/>
        <charset val="2"/>
      </rPr>
      <t>=</t>
    </r>
  </si>
  <si>
    <r>
      <t>..van x</t>
    </r>
    <r>
      <rPr>
        <vertAlign val="subscript"/>
        <sz val="10"/>
        <rFont val="Arial"/>
        <family val="2"/>
      </rPr>
      <t>2</t>
    </r>
  </si>
  <si>
    <r>
      <t>..van 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</si>
  <si>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j</t>
    </r>
    <r>
      <rPr>
        <sz val="10"/>
        <rFont val="Arial"/>
        <family val="2"/>
      </rPr>
      <t>/3 - 60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=</t>
    </r>
  </si>
  <si>
    <r>
      <t>..van x</t>
    </r>
    <r>
      <rPr>
        <vertAlign val="subscript"/>
        <sz val="10"/>
        <rFont val="Arial"/>
        <family val="2"/>
      </rPr>
      <t>3</t>
    </r>
  </si>
  <si>
    <r>
      <t>..van x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</si>
  <si>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>j</t>
    </r>
    <r>
      <rPr>
        <sz val="10"/>
        <rFont val="Arial"/>
        <family val="2"/>
      </rPr>
      <t>/3 +60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=</t>
    </r>
  </si>
  <si>
    <t>Resultaten van x als tekst opgemaakt:</t>
  </si>
  <si>
    <t xml:space="preserve">Expresión </t>
  </si>
  <si>
    <t>decimales</t>
  </si>
  <si>
    <t>Real</t>
  </si>
  <si>
    <t>Imaginaria</t>
  </si>
  <si>
    <t>Soluciones</t>
  </si>
  <si>
    <r>
      <rPr>
        <b/>
        <sz val="10"/>
        <rFont val="Arial"/>
        <family val="2"/>
      </rPr>
      <t>T</t>
    </r>
    <r>
      <rPr>
        <b/>
        <vertAlign val="superscript"/>
        <sz val="10"/>
        <rFont val="Arial"/>
        <family val="2"/>
      </rPr>
      <t>3</t>
    </r>
  </si>
  <si>
    <r>
      <rPr>
        <b/>
        <sz val="10"/>
        <rFont val="Arial"/>
        <family val="2"/>
      </rPr>
      <t>T</t>
    </r>
    <r>
      <rPr>
        <b/>
        <vertAlign val="superscript"/>
        <sz val="10"/>
        <rFont val="Arial"/>
        <family val="2"/>
      </rPr>
      <t>2</t>
    </r>
  </si>
  <si>
    <t>Con apoyo del programa DGAPA-UNAM-PAPIME PE-200419</t>
  </si>
  <si>
    <t>Dr. Juan Carlos Vázquez Lira UNAM FES Zaragoza 2019</t>
  </si>
  <si>
    <t>Cp como función de T (cal/molK)</t>
  </si>
  <si>
    <r>
      <t>Resolución de la ecuación cúbica tipo  AT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>+BT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+CT+D=0 </t>
    </r>
  </si>
  <si>
    <t>Temperatura de equilibrio en mezcla binaria de gases ideales</t>
  </si>
  <si>
    <t>T1 (K)</t>
  </si>
  <si>
    <t>T2(K)</t>
  </si>
  <si>
    <r>
      <t>T</t>
    </r>
    <r>
      <rPr>
        <b/>
        <vertAlign val="subscript"/>
        <sz val="11"/>
        <color theme="0"/>
        <rFont val="Calibri"/>
        <family val="2"/>
        <scheme val="minor"/>
      </rPr>
      <t>1</t>
    </r>
    <r>
      <rPr>
        <b/>
        <sz val="11"/>
        <color theme="0"/>
        <rFont val="Calibri"/>
        <family val="2"/>
        <scheme val="minor"/>
      </rPr>
      <t>(K)=</t>
    </r>
  </si>
  <si>
    <r>
      <t>T</t>
    </r>
    <r>
      <rPr>
        <b/>
        <vertAlign val="sub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(K)=</t>
    </r>
  </si>
  <si>
    <r>
      <t>T</t>
    </r>
    <r>
      <rPr>
        <b/>
        <vertAlign val="subscript"/>
        <sz val="11"/>
        <color theme="0"/>
        <rFont val="Calibri"/>
        <family val="2"/>
        <scheme val="minor"/>
      </rPr>
      <t>3</t>
    </r>
    <r>
      <rPr>
        <b/>
        <sz val="11"/>
        <color theme="0"/>
        <rFont val="Calibri"/>
        <family val="2"/>
        <scheme val="minor"/>
      </rPr>
      <t>(K)=</t>
    </r>
  </si>
  <si>
    <r>
      <t xml:space="preserve"> T</t>
    </r>
    <r>
      <rPr>
        <b/>
        <vertAlign val="subscript"/>
        <sz val="11"/>
        <color theme="0"/>
        <rFont val="Calibri"/>
        <family val="2"/>
        <scheme val="minor"/>
      </rPr>
      <t>1</t>
    </r>
    <r>
      <rPr>
        <b/>
        <sz val="11"/>
        <color theme="0"/>
        <rFont val="Calibri"/>
        <family val="2"/>
        <scheme val="minor"/>
      </rPr>
      <t xml:space="preserve"> (K)=</t>
    </r>
  </si>
  <si>
    <r>
      <t xml:space="preserve"> T</t>
    </r>
    <r>
      <rPr>
        <b/>
        <vertAlign val="sub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 xml:space="preserve"> (K)=</t>
    </r>
  </si>
  <si>
    <t>N2</t>
  </si>
  <si>
    <t>O2</t>
  </si>
  <si>
    <t>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</si>
</sst>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10"/>
      <name val="Symbol"/>
      <family val="1"/>
      <charset val="2"/>
    </font>
    <font>
      <b/>
      <vertAlign val="superscript"/>
      <sz val="14"/>
      <name val="Arial"/>
      <family val="2"/>
    </font>
    <font>
      <b/>
      <vertAlign val="subscript"/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2" borderId="1" applyNumberFormat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center"/>
    </xf>
    <xf numFmtId="0" fontId="6" fillId="3" borderId="0" xfId="1" applyFont="1" applyFill="1"/>
    <xf numFmtId="0" fontId="7" fillId="3" borderId="0" xfId="1" applyFont="1" applyFill="1"/>
    <xf numFmtId="0" fontId="3" fillId="3" borderId="0" xfId="1" applyFill="1"/>
    <xf numFmtId="0" fontId="6" fillId="0" borderId="0" xfId="1" applyFont="1"/>
    <xf numFmtId="0" fontId="3" fillId="0" borderId="0" xfId="1"/>
    <xf numFmtId="0" fontId="8" fillId="4" borderId="0" xfId="1" applyFont="1" applyFill="1"/>
    <xf numFmtId="0" fontId="3" fillId="4" borderId="0" xfId="1" applyFill="1"/>
    <xf numFmtId="0" fontId="8" fillId="0" borderId="0" xfId="1" applyFont="1"/>
    <xf numFmtId="0" fontId="8" fillId="0" borderId="0" xfId="1" applyFont="1" applyAlignment="1">
      <alignment horizontal="center"/>
    </xf>
    <xf numFmtId="0" fontId="8" fillId="6" borderId="2" xfId="1" applyFont="1" applyFill="1" applyBorder="1" applyProtection="1">
      <protection hidden="1"/>
    </xf>
    <xf numFmtId="0" fontId="10" fillId="6" borderId="2" xfId="1" applyFont="1" applyFill="1" applyBorder="1" applyProtection="1">
      <protection hidden="1"/>
    </xf>
    <xf numFmtId="0" fontId="3" fillId="6" borderId="2" xfId="1" applyFill="1" applyBorder="1" applyProtection="1">
      <protection hidden="1"/>
    </xf>
    <xf numFmtId="0" fontId="3" fillId="6" borderId="2" xfId="1" applyFill="1" applyBorder="1"/>
    <xf numFmtId="0" fontId="3" fillId="6" borderId="2" xfId="1" applyFill="1" applyBorder="1" applyAlignment="1" applyProtection="1">
      <alignment horizontal="right"/>
      <protection hidden="1"/>
    </xf>
    <xf numFmtId="0" fontId="8" fillId="6" borderId="2" xfId="1" applyFont="1" applyFill="1" applyBorder="1" applyAlignment="1" applyProtection="1">
      <alignment horizontal="left"/>
      <protection hidden="1"/>
    </xf>
    <xf numFmtId="0" fontId="3" fillId="6" borderId="2" xfId="1" applyFill="1" applyBorder="1" applyAlignment="1" applyProtection="1">
      <alignment horizontal="center"/>
      <protection hidden="1"/>
    </xf>
    <xf numFmtId="0" fontId="3" fillId="6" borderId="2" xfId="1" applyFill="1" applyBorder="1" applyAlignment="1">
      <alignment horizontal="left"/>
    </xf>
    <xf numFmtId="0" fontId="3" fillId="6" borderId="2" xfId="1" applyFill="1" applyBorder="1" applyAlignment="1">
      <alignment horizontal="center"/>
    </xf>
    <xf numFmtId="0" fontId="8" fillId="6" borderId="2" xfId="1" applyFont="1" applyFill="1" applyBorder="1"/>
    <xf numFmtId="0" fontId="3" fillId="6" borderId="2" xfId="1" applyFill="1" applyBorder="1" applyAlignment="1">
      <alignment horizontal="right"/>
    </xf>
    <xf numFmtId="0" fontId="3" fillId="6" borderId="2" xfId="1" quotePrefix="1" applyFill="1" applyBorder="1"/>
    <xf numFmtId="0" fontId="8" fillId="6" borderId="2" xfId="1" applyFont="1" applyFill="1" applyBorder="1" applyAlignment="1" applyProtection="1">
      <alignment horizontal="center"/>
      <protection hidden="1"/>
    </xf>
    <xf numFmtId="0" fontId="8" fillId="6" borderId="2" xfId="1" applyFont="1" applyFill="1" applyBorder="1" applyAlignment="1">
      <alignment horizontal="center"/>
    </xf>
    <xf numFmtId="0" fontId="8" fillId="6" borderId="2" xfId="1" applyFont="1" applyFill="1" applyBorder="1" applyAlignment="1">
      <alignment shrinkToFit="1"/>
    </xf>
    <xf numFmtId="0" fontId="3" fillId="6" borderId="3" xfId="1" applyFill="1" applyBorder="1" applyProtection="1">
      <protection hidden="1"/>
    </xf>
    <xf numFmtId="0" fontId="3" fillId="6" borderId="3" xfId="1" applyFill="1" applyBorder="1"/>
    <xf numFmtId="0" fontId="3" fillId="6" borderId="4" xfId="1" applyFill="1" applyBorder="1" applyProtection="1">
      <protection hidden="1"/>
    </xf>
    <xf numFmtId="0" fontId="3" fillId="6" borderId="4" xfId="1" applyFill="1" applyBorder="1"/>
    <xf numFmtId="0" fontId="8" fillId="6" borderId="5" xfId="1" applyFont="1" applyFill="1" applyBorder="1" applyProtection="1">
      <protection hidden="1"/>
    </xf>
    <xf numFmtId="0" fontId="3" fillId="6" borderId="5" xfId="1" applyFill="1" applyBorder="1" applyProtection="1">
      <protection hidden="1"/>
    </xf>
    <xf numFmtId="0" fontId="3" fillId="6" borderId="5" xfId="1" applyFill="1" applyBorder="1"/>
    <xf numFmtId="2" fontId="3" fillId="6" borderId="2" xfId="1" applyNumberFormat="1" applyFill="1" applyBorder="1" applyProtection="1">
      <protection hidden="1"/>
    </xf>
    <xf numFmtId="0" fontId="8" fillId="6" borderId="2" xfId="1" quotePrefix="1" applyFont="1" applyFill="1" applyBorder="1"/>
    <xf numFmtId="0" fontId="3" fillId="6" borderId="2" xfId="1" quotePrefix="1" applyFill="1" applyBorder="1" applyProtection="1">
      <protection hidden="1"/>
    </xf>
    <xf numFmtId="0" fontId="8" fillId="6" borderId="2" xfId="1" applyFont="1" applyFill="1" applyBorder="1" applyAlignment="1">
      <alignment horizontal="left"/>
    </xf>
    <xf numFmtId="0" fontId="14" fillId="6" borderId="2" xfId="1" applyFont="1" applyFill="1" applyBorder="1" applyProtection="1">
      <protection hidden="1"/>
    </xf>
    <xf numFmtId="2" fontId="3" fillId="6" borderId="2" xfId="1" quotePrefix="1" applyNumberFormat="1" applyFill="1" applyBorder="1" applyProtection="1">
      <protection hidden="1"/>
    </xf>
    <xf numFmtId="0" fontId="3" fillId="7" borderId="0" xfId="1" applyFill="1"/>
    <xf numFmtId="0" fontId="6" fillId="8" borderId="0" xfId="1" applyFont="1" applyFill="1"/>
    <xf numFmtId="0" fontId="8" fillId="8" borderId="6" xfId="1" applyFont="1" applyFill="1" applyBorder="1" applyAlignment="1">
      <alignment horizontal="center"/>
    </xf>
    <xf numFmtId="0" fontId="8" fillId="3" borderId="7" xfId="1" applyFont="1" applyFill="1" applyBorder="1"/>
    <xf numFmtId="0" fontId="8" fillId="8" borderId="8" xfId="1" applyFont="1" applyFill="1" applyBorder="1" applyAlignment="1">
      <alignment horizontal="center"/>
    </xf>
    <xf numFmtId="0" fontId="8" fillId="3" borderId="9" xfId="1" applyFont="1" applyFill="1" applyBorder="1"/>
    <xf numFmtId="0" fontId="8" fillId="8" borderId="10" xfId="1" applyFont="1" applyFill="1" applyBorder="1" applyAlignment="1">
      <alignment horizontal="center"/>
    </xf>
    <xf numFmtId="0" fontId="8" fillId="3" borderId="11" xfId="1" applyFont="1" applyFill="1" applyBorder="1"/>
    <xf numFmtId="0" fontId="3" fillId="9" borderId="12" xfId="1" applyFill="1" applyBorder="1" applyAlignment="1">
      <alignment horizontal="left"/>
    </xf>
    <xf numFmtId="0" fontId="3" fillId="10" borderId="13" xfId="1" applyFill="1" applyBorder="1" applyAlignment="1" applyProtection="1">
      <alignment horizontal="right"/>
      <protection locked="0"/>
    </xf>
    <xf numFmtId="0" fontId="3" fillId="9" borderId="14" xfId="1" applyFill="1" applyBorder="1"/>
    <xf numFmtId="0" fontId="3" fillId="0" borderId="0" xfId="1" applyAlignment="1">
      <alignment horizontal="right"/>
    </xf>
    <xf numFmtId="0" fontId="3" fillId="11" borderId="12" xfId="1" applyFill="1" applyBorder="1" applyAlignment="1">
      <alignment horizontal="center"/>
    </xf>
    <xf numFmtId="0" fontId="3" fillId="11" borderId="14" xfId="1" applyFill="1" applyBorder="1" applyAlignment="1">
      <alignment horizontal="center"/>
    </xf>
    <xf numFmtId="0" fontId="4" fillId="2" borderId="1" xfId="2" applyAlignment="1">
      <alignment horizontal="center"/>
    </xf>
    <xf numFmtId="0" fontId="3" fillId="11" borderId="15" xfId="1" applyFill="1" applyBorder="1" applyAlignment="1">
      <alignment horizontal="center"/>
    </xf>
    <xf numFmtId="0" fontId="3" fillId="11" borderId="16" xfId="1" applyFill="1" applyBorder="1" applyAlignment="1">
      <alignment horizontal="center"/>
    </xf>
    <xf numFmtId="0" fontId="3" fillId="11" borderId="17" xfId="1" applyFill="1" applyBorder="1" applyAlignment="1">
      <alignment horizontal="center"/>
    </xf>
    <xf numFmtId="0" fontId="3" fillId="11" borderId="9" xfId="1" applyFill="1" applyBorder="1" applyAlignment="1">
      <alignment horizontal="center"/>
    </xf>
    <xf numFmtId="0" fontId="3" fillId="11" borderId="18" xfId="1" applyFill="1" applyBorder="1" applyAlignment="1">
      <alignment horizontal="center"/>
    </xf>
    <xf numFmtId="0" fontId="3" fillId="11" borderId="19" xfId="1" applyFill="1" applyBorder="1" applyAlignment="1">
      <alignment horizontal="center"/>
    </xf>
    <xf numFmtId="0" fontId="3" fillId="0" borderId="0" xfId="1" applyAlignment="1">
      <alignment horizontal="left"/>
    </xf>
    <xf numFmtId="0" fontId="3" fillId="12" borderId="0" xfId="1" applyFill="1"/>
    <xf numFmtId="0" fontId="5" fillId="0" borderId="0" xfId="0" applyFont="1" applyProtection="1">
      <protection hidden="1"/>
    </xf>
    <xf numFmtId="0" fontId="9" fillId="0" borderId="0" xfId="1" applyFont="1" applyAlignment="1">
      <alignment horizontal="center"/>
    </xf>
    <xf numFmtId="0" fontId="1" fillId="13" borderId="0" xfId="0" applyFont="1" applyFill="1" applyAlignment="1">
      <alignment horizontal="center"/>
    </xf>
    <xf numFmtId="0" fontId="8" fillId="3" borderId="0" xfId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/>
    <xf numFmtId="11" fontId="1" fillId="4" borderId="0" xfId="0" applyNumberFormat="1" applyFont="1" applyFill="1" applyAlignment="1" applyProtection="1">
      <alignment horizontal="center"/>
      <protection locked="0"/>
    </xf>
    <xf numFmtId="2" fontId="1" fillId="4" borderId="0" xfId="0" applyNumberFormat="1" applyFont="1" applyFill="1" applyAlignment="1" applyProtection="1">
      <alignment horizontal="center"/>
      <protection locked="0"/>
    </xf>
    <xf numFmtId="4" fontId="1" fillId="4" borderId="0" xfId="0" applyNumberFormat="1" applyFont="1" applyFill="1" applyProtection="1">
      <protection locked="0"/>
    </xf>
    <xf numFmtId="0" fontId="1" fillId="4" borderId="0" xfId="0" applyFont="1" applyFill="1" applyAlignment="1">
      <alignment horizontal="center"/>
    </xf>
    <xf numFmtId="0" fontId="3" fillId="11" borderId="20" xfId="1" quotePrefix="1" applyFill="1" applyBorder="1" applyAlignment="1">
      <alignment horizontal="center"/>
    </xf>
    <xf numFmtId="0" fontId="3" fillId="11" borderId="20" xfId="1" applyFill="1" applyBorder="1" applyAlignment="1">
      <alignment horizontal="center"/>
    </xf>
    <xf numFmtId="0" fontId="3" fillId="11" borderId="21" xfId="1" applyFill="1" applyBorder="1" applyAlignment="1">
      <alignment horizontal="center"/>
    </xf>
    <xf numFmtId="0" fontId="3" fillId="11" borderId="0" xfId="1" applyFill="1" applyAlignment="1">
      <alignment horizontal="center"/>
    </xf>
    <xf numFmtId="0" fontId="3" fillId="11" borderId="22" xfId="1" applyFill="1" applyBorder="1" applyAlignment="1">
      <alignment horizontal="center"/>
    </xf>
    <xf numFmtId="0" fontId="3" fillId="11" borderId="23" xfId="1" applyFill="1" applyBorder="1" applyAlignment="1">
      <alignment horizontal="center"/>
    </xf>
    <xf numFmtId="0" fontId="3" fillId="11" borderId="24" xfId="1" applyFill="1" applyBorder="1" applyAlignment="1">
      <alignment horizontal="center"/>
    </xf>
    <xf numFmtId="0" fontId="0" fillId="0" borderId="0" xfId="0" applyFont="1"/>
    <xf numFmtId="0" fontId="17" fillId="0" borderId="0" xfId="1" applyFont="1"/>
    <xf numFmtId="11" fontId="1" fillId="13" borderId="0" xfId="0" applyNumberFormat="1" applyFont="1" applyFill="1" applyAlignment="1">
      <alignment horizontal="center"/>
    </xf>
    <xf numFmtId="0" fontId="5" fillId="14" borderId="0" xfId="0" applyFont="1" applyFill="1" applyProtection="1">
      <protection hidden="1"/>
    </xf>
    <xf numFmtId="11" fontId="5" fillId="14" borderId="0" xfId="0" applyNumberFormat="1" applyFont="1" applyFill="1" applyProtection="1">
      <protection hidden="1"/>
    </xf>
  </cellXfs>
  <cellStyles count="3">
    <cellStyle name="Celda de comprobación" xfId="2" builtinId="2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335926</xdr:colOff>
      <xdr:row>7</xdr:row>
      <xdr:rowOff>9524</xdr:rowOff>
    </xdr:from>
    <xdr:to>
      <xdr:col>6</xdr:col>
      <xdr:colOff>923925</xdr:colOff>
      <xdr:row>13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F0BD79-B791-438F-9B2A-DABE24751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0201" y="1352549"/>
          <a:ext cx="1188074" cy="1238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57E63-2CDC-487D-8298-ABAD393F3D88}">
  <dimension ref="A1:R108"/>
  <sheetViews>
    <sheetView showGridLines="0" tabSelected="1" zoomScaleNormal="100" workbookViewId="0">
      <selection activeCell="D10" sqref="D10"/>
    </sheetView>
  </sheetViews>
  <sheetFormatPr baseColWidth="10" defaultColWidth="0" defaultRowHeight="12.75" x14ac:dyDescent="0.2"/>
  <cols>
    <col min="1" max="1" width="10.42578125" style="6" customWidth="1"/>
    <col min="2" max="2" width="9.7109375" style="6" customWidth="1"/>
    <col min="3" max="3" width="13" style="6" customWidth="1"/>
    <col min="4" max="4" width="14" style="6" customWidth="1"/>
    <col min="5" max="5" width="8.7109375" style="6" customWidth="1"/>
    <col min="6" max="6" width="9" style="6" customWidth="1"/>
    <col min="7" max="7" width="16.85546875" style="6" customWidth="1"/>
    <col min="8" max="16384" width="9.140625" style="6" hidden="1"/>
  </cols>
  <sheetData>
    <row r="1" spans="1:9" ht="18" x14ac:dyDescent="0.25">
      <c r="A1" s="2" t="s">
        <v>99</v>
      </c>
      <c r="B1" s="2"/>
      <c r="C1" s="2"/>
      <c r="D1" s="2"/>
      <c r="E1" s="2"/>
      <c r="F1" s="3"/>
      <c r="G1" s="4"/>
      <c r="H1" s="5"/>
      <c r="I1" s="5"/>
    </row>
    <row r="2" spans="1:9" x14ac:dyDescent="0.2">
      <c r="A2" s="7" t="s">
        <v>7</v>
      </c>
      <c r="B2" s="7"/>
      <c r="C2" s="7"/>
      <c r="D2" s="7"/>
      <c r="E2" s="8"/>
      <c r="H2" s="8"/>
    </row>
    <row r="3" spans="1:9" ht="15" x14ac:dyDescent="0.25">
      <c r="A3" s="4"/>
      <c r="B3" s="65" t="s">
        <v>97</v>
      </c>
      <c r="C3" s="65"/>
      <c r="H3">
        <v>273.14999999999998</v>
      </c>
      <c r="I3" s="1" t="s">
        <v>5</v>
      </c>
    </row>
    <row r="4" spans="1:9" ht="15" x14ac:dyDescent="0.25">
      <c r="A4" s="66" t="s">
        <v>0</v>
      </c>
      <c r="B4" s="66" t="s">
        <v>1</v>
      </c>
      <c r="C4" s="66" t="s">
        <v>2</v>
      </c>
      <c r="D4" s="66" t="s">
        <v>3</v>
      </c>
      <c r="E4" s="66" t="s">
        <v>109</v>
      </c>
      <c r="H4">
        <v>298.14999999999998</v>
      </c>
      <c r="I4" s="1" t="s">
        <v>6</v>
      </c>
    </row>
    <row r="5" spans="1:9" ht="15" x14ac:dyDescent="0.25">
      <c r="A5" s="69">
        <v>6.45</v>
      </c>
      <c r="B5" s="68">
        <f>1.41*10^(-3)</f>
        <v>1.41E-3</v>
      </c>
      <c r="C5" s="68">
        <f>-8.1*10^(-8)</f>
        <v>-8.0999999999999997E-8</v>
      </c>
      <c r="D5" s="69">
        <v>5</v>
      </c>
      <c r="E5" s="71" t="s">
        <v>107</v>
      </c>
      <c r="F5" s="67" t="s">
        <v>100</v>
      </c>
      <c r="G5" s="70">
        <v>300</v>
      </c>
      <c r="H5"/>
      <c r="I5"/>
    </row>
    <row r="6" spans="1:9" ht="15" x14ac:dyDescent="0.25">
      <c r="A6" s="69">
        <v>6.1</v>
      </c>
      <c r="B6" s="68">
        <f>3.25*10^(-3)</f>
        <v>3.2500000000000003E-3</v>
      </c>
      <c r="C6" s="68">
        <f>-1.02*10^(-6)</f>
        <v>-1.02E-6</v>
      </c>
      <c r="D6" s="69">
        <v>4</v>
      </c>
      <c r="E6" s="71" t="s">
        <v>108</v>
      </c>
      <c r="F6" s="67" t="s">
        <v>101</v>
      </c>
      <c r="G6" s="70">
        <v>350</v>
      </c>
      <c r="H6"/>
      <c r="I6"/>
    </row>
    <row r="7" spans="1:9" ht="15" x14ac:dyDescent="0.25">
      <c r="A7" s="79"/>
      <c r="B7" s="79"/>
      <c r="C7" s="79"/>
      <c r="D7" s="79"/>
      <c r="E7" s="79"/>
      <c r="F7"/>
      <c r="G7"/>
      <c r="H7"/>
      <c r="I7"/>
    </row>
    <row r="8" spans="1:9" ht="15" x14ac:dyDescent="0.25">
      <c r="A8" s="82">
        <f>D5*A5</f>
        <v>32.25</v>
      </c>
      <c r="B8" s="83">
        <f>(D5*B5)/2</f>
        <v>3.5249999999999999E-3</v>
      </c>
      <c r="C8" s="83">
        <f>(D5*C5)/3</f>
        <v>-1.35E-7</v>
      </c>
      <c r="D8" s="82">
        <f>A8*-G5</f>
        <v>-9675</v>
      </c>
      <c r="E8" s="82">
        <f>B8*-G5</f>
        <v>-1.0574999999999999</v>
      </c>
      <c r="F8" s="62">
        <f>C8*-G5</f>
        <v>4.0500000000000002E-5</v>
      </c>
      <c r="G8" s="62"/>
      <c r="H8"/>
      <c r="I8"/>
    </row>
    <row r="9" spans="1:9" ht="15" x14ac:dyDescent="0.25">
      <c r="A9" s="82">
        <f>D6*A6</f>
        <v>24.4</v>
      </c>
      <c r="B9" s="83">
        <f>(D6*B6)/2</f>
        <v>6.5000000000000006E-3</v>
      </c>
      <c r="C9" s="83">
        <f>(D6*C6)/3</f>
        <v>-1.3599999999999999E-6</v>
      </c>
      <c r="D9" s="82">
        <f>-A9*-G6</f>
        <v>8540</v>
      </c>
      <c r="E9" s="82">
        <f>-B9*-G6</f>
        <v>2.2750000000000004</v>
      </c>
      <c r="F9" s="62">
        <f>-C9*-G6</f>
        <v>-4.7599999999999997E-4</v>
      </c>
      <c r="G9" s="62"/>
      <c r="H9"/>
      <c r="I9"/>
    </row>
    <row r="10" spans="1:9" ht="15" x14ac:dyDescent="0.25">
      <c r="A10" s="82">
        <f>D5*A5</f>
        <v>32.25</v>
      </c>
      <c r="B10" s="83">
        <f>(D5*B5)/2</f>
        <v>3.5249999999999999E-3</v>
      </c>
      <c r="C10" s="83">
        <f>(D5*C5)/3</f>
        <v>-1.35E-7</v>
      </c>
      <c r="D10" s="82"/>
      <c r="E10" s="82"/>
      <c r="F10" s="62"/>
      <c r="G10" s="62"/>
      <c r="H10"/>
      <c r="I10"/>
    </row>
    <row r="11" spans="1:9" ht="15" x14ac:dyDescent="0.25">
      <c r="A11" s="82">
        <f>-D6*A6</f>
        <v>-24.4</v>
      </c>
      <c r="B11" s="83">
        <f>(-D6*B6)/2</f>
        <v>-6.5000000000000006E-3</v>
      </c>
      <c r="C11" s="82">
        <f>-(D6*C6)/3</f>
        <v>1.3599999999999999E-6</v>
      </c>
      <c r="D11" s="82"/>
      <c r="E11" s="82"/>
      <c r="F11" s="62"/>
      <c r="G11" s="62"/>
    </row>
    <row r="12" spans="1:9" x14ac:dyDescent="0.2">
      <c r="A12" s="80"/>
      <c r="B12" s="80"/>
      <c r="C12" s="80"/>
      <c r="D12" s="80"/>
      <c r="E12" s="80"/>
    </row>
    <row r="13" spans="1:9" x14ac:dyDescent="0.2">
      <c r="A13" s="80"/>
      <c r="B13" s="80"/>
      <c r="C13" s="80"/>
      <c r="D13" s="80"/>
      <c r="E13" s="80"/>
    </row>
    <row r="14" spans="1:9" ht="14.25" x14ac:dyDescent="0.2">
      <c r="B14" s="63" t="s">
        <v>93</v>
      </c>
      <c r="C14" s="63" t="s">
        <v>94</v>
      </c>
      <c r="D14" s="10" t="s">
        <v>4</v>
      </c>
      <c r="E14" s="10" t="s">
        <v>8</v>
      </c>
    </row>
    <row r="15" spans="1:9" ht="15" x14ac:dyDescent="0.25">
      <c r="B15" s="81">
        <f>C10-C11</f>
        <v>-1.4949999999999999E-6</v>
      </c>
      <c r="C15" s="81">
        <f>B10-B11+F8-F9</f>
        <v>1.0541500000000002E-2</v>
      </c>
      <c r="D15" s="64">
        <f>A10-A11+E8-E9</f>
        <v>53.317500000000003</v>
      </c>
      <c r="E15" s="64">
        <f>D8-D9</f>
        <v>-18215</v>
      </c>
    </row>
    <row r="16" spans="1:9" hidden="1" x14ac:dyDescent="0.2"/>
    <row r="17" spans="1:18" hidden="1" x14ac:dyDescent="0.2"/>
    <row r="18" spans="1:18" hidden="1" x14ac:dyDescent="0.2"/>
    <row r="19" spans="1:18" hidden="1" x14ac:dyDescent="0.2"/>
    <row r="20" spans="1:18" hidden="1" x14ac:dyDescent="0.2"/>
    <row r="21" spans="1:18" hidden="1" x14ac:dyDescent="0.2">
      <c r="A21" s="11" t="s">
        <v>9</v>
      </c>
      <c r="B21" s="12"/>
      <c r="C21" s="12"/>
      <c r="D21" s="12"/>
      <c r="E21" s="13"/>
      <c r="F21" s="1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idden="1" x14ac:dyDescent="0.2">
      <c r="A22" s="15" t="s">
        <v>10</v>
      </c>
      <c r="B22" s="13">
        <f>C89</f>
        <v>-1.4949999999999999E-6</v>
      </c>
      <c r="C22" s="13"/>
      <c r="D22" s="13"/>
      <c r="E22" s="13"/>
      <c r="F22" s="13"/>
      <c r="G22" s="1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idden="1" x14ac:dyDescent="0.2">
      <c r="A23" s="15" t="s">
        <v>11</v>
      </c>
      <c r="B23" s="13">
        <f>C90</f>
        <v>1.0541500000000002E-2</v>
      </c>
      <c r="C23" s="13"/>
      <c r="D23" s="13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idden="1" x14ac:dyDescent="0.2">
      <c r="A24" s="15" t="s">
        <v>12</v>
      </c>
      <c r="B24" s="13">
        <f>C91</f>
        <v>53.317500000000003</v>
      </c>
      <c r="C24" s="13"/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idden="1" x14ac:dyDescent="0.2">
      <c r="A25" s="15" t="s">
        <v>13</v>
      </c>
      <c r="B25" s="13">
        <f>C92</f>
        <v>-18215</v>
      </c>
      <c r="C25" s="13"/>
      <c r="D25" s="13"/>
      <c r="E25" s="13"/>
      <c r="F25" s="13"/>
      <c r="G25" s="1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hidden="1" x14ac:dyDescent="0.2">
      <c r="A26" s="16" t="s">
        <v>14</v>
      </c>
      <c r="B26" s="13"/>
      <c r="C26" s="13"/>
      <c r="D26" s="13"/>
      <c r="E26" s="13"/>
      <c r="F26" s="13"/>
      <c r="G26" s="13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idden="1" x14ac:dyDescent="0.2">
      <c r="A27" s="13" t="s">
        <v>15</v>
      </c>
      <c r="B27" s="13"/>
      <c r="C27" s="13"/>
      <c r="D27" s="13"/>
      <c r="E27" s="13"/>
      <c r="F27" s="13"/>
      <c r="G27" s="1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idden="1" x14ac:dyDescent="0.2">
      <c r="A28" s="15" t="s">
        <v>16</v>
      </c>
      <c r="B28" s="13">
        <f>+(B24/B22)-((B23^2)/(3*B22^2))</f>
        <v>-52236881.727646612</v>
      </c>
      <c r="C28" s="13"/>
      <c r="D28" s="13"/>
      <c r="E28" s="17" t="s">
        <v>17</v>
      </c>
      <c r="F28" s="17" t="s">
        <v>18</v>
      </c>
      <c r="G28" s="13"/>
      <c r="H28" s="18"/>
      <c r="I28" s="19" t="s">
        <v>17</v>
      </c>
      <c r="J28" s="19" t="s">
        <v>18</v>
      </c>
      <c r="K28" s="14"/>
      <c r="L28" s="20" t="s">
        <v>19</v>
      </c>
      <c r="M28" s="14"/>
      <c r="N28" s="14"/>
      <c r="O28" s="14"/>
      <c r="P28" s="14"/>
      <c r="Q28" s="14"/>
      <c r="R28" s="14"/>
    </row>
    <row r="29" spans="1:18" hidden="1" x14ac:dyDescent="0.2">
      <c r="A29" s="15" t="s">
        <v>20</v>
      </c>
      <c r="B29" s="13">
        <f>((2*B23^3)/(27*B22^3))-((B23*B24)/(3*B22^2))+(B25/B22)</f>
        <v>-97608767317.225677</v>
      </c>
      <c r="C29" s="13"/>
      <c r="D29" s="15" t="s">
        <v>21</v>
      </c>
      <c r="E29" s="13" t="e">
        <f>B38</f>
        <v>#NUM!</v>
      </c>
      <c r="F29" s="13"/>
      <c r="G29" s="17" t="s">
        <v>22</v>
      </c>
      <c r="H29" s="21" t="s">
        <v>23</v>
      </c>
      <c r="I29" s="14" t="e">
        <f>E29-((B23)/(3*B22))</f>
        <v>#NUM!</v>
      </c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5.75" hidden="1" x14ac:dyDescent="0.3">
      <c r="A30" s="15" t="s">
        <v>24</v>
      </c>
      <c r="B30" s="13">
        <f>B28/3</f>
        <v>-17412293.909215536</v>
      </c>
      <c r="C30" s="13"/>
      <c r="D30" s="15" t="s">
        <v>25</v>
      </c>
      <c r="E30" s="13" t="e">
        <f>-B39</f>
        <v>#NUM!</v>
      </c>
      <c r="F30" s="13" t="e">
        <f>SQRT(3)*B40</f>
        <v>#NUM!</v>
      </c>
      <c r="G30" s="17" t="s">
        <v>22</v>
      </c>
      <c r="H30" s="21" t="s">
        <v>26</v>
      </c>
      <c r="I30" s="22" t="e">
        <f>E30-((B23)/(3*B22))</f>
        <v>#NUM!</v>
      </c>
      <c r="J30" s="14" t="e">
        <f>F30</f>
        <v>#NUM!</v>
      </c>
      <c r="K30" s="14"/>
      <c r="L30" s="14" t="s">
        <v>27</v>
      </c>
      <c r="M30" s="14" t="e">
        <f>I30^2-J30^2</f>
        <v>#NUM!</v>
      </c>
      <c r="N30" s="14" t="e">
        <f>2*I30*J30</f>
        <v>#NUM!</v>
      </c>
      <c r="O30" s="14"/>
      <c r="P30" s="14" t="s">
        <v>28</v>
      </c>
      <c r="Q30" s="14" t="e">
        <f>I30^3-3*I30*J30^2</f>
        <v>#NUM!</v>
      </c>
      <c r="R30" s="14" t="e">
        <f>3*I30^2*J30-J30^3</f>
        <v>#NUM!</v>
      </c>
    </row>
    <row r="31" spans="1:18" ht="15.75" hidden="1" x14ac:dyDescent="0.3">
      <c r="A31" s="15" t="s">
        <v>29</v>
      </c>
      <c r="B31" s="13">
        <f>B29/2</f>
        <v>-48804383658.612839</v>
      </c>
      <c r="C31" s="13"/>
      <c r="D31" s="15" t="s">
        <v>30</v>
      </c>
      <c r="E31" s="13" t="e">
        <f>-B39</f>
        <v>#NUM!</v>
      </c>
      <c r="F31" s="13" t="e">
        <f>-SQRT(3)*B40</f>
        <v>#NUM!</v>
      </c>
      <c r="G31" s="17" t="s">
        <v>22</v>
      </c>
      <c r="H31" s="21" t="s">
        <v>31</v>
      </c>
      <c r="I31" s="22" t="e">
        <f>E31-((B23)/(3*B22))</f>
        <v>#NUM!</v>
      </c>
      <c r="J31" s="14" t="e">
        <f>F31</f>
        <v>#NUM!</v>
      </c>
      <c r="K31" s="14"/>
      <c r="L31" s="14" t="s">
        <v>32</v>
      </c>
      <c r="M31" s="14" t="e">
        <f>I31^2-J31^2</f>
        <v>#NUM!</v>
      </c>
      <c r="N31" s="14" t="e">
        <f>2*I31*J31</f>
        <v>#NUM!</v>
      </c>
      <c r="O31" s="14"/>
      <c r="P31" s="14" t="s">
        <v>33</v>
      </c>
      <c r="Q31" s="14" t="e">
        <f>I31^3-3*I31*J31^2</f>
        <v>#NUM!</v>
      </c>
      <c r="R31" s="14" t="e">
        <f>3*I31^2*J31-J31^3</f>
        <v>#NUM!</v>
      </c>
    </row>
    <row r="32" spans="1:18" ht="14.25" hidden="1" x14ac:dyDescent="0.2">
      <c r="A32" s="15" t="s">
        <v>34</v>
      </c>
      <c r="B32" s="13">
        <f>B30^3</f>
        <v>-5.2791982032390288E+21</v>
      </c>
      <c r="C32" s="13"/>
      <c r="D32" s="13"/>
      <c r="E32" s="13"/>
      <c r="F32" s="13"/>
      <c r="G32" s="13"/>
      <c r="H32" s="14"/>
      <c r="I32" s="14"/>
      <c r="J32" s="14"/>
      <c r="K32" s="14"/>
      <c r="L32" s="20" t="s">
        <v>35</v>
      </c>
      <c r="M32" s="14"/>
      <c r="N32" s="14"/>
      <c r="O32" s="14"/>
      <c r="P32" s="14"/>
      <c r="Q32" s="14"/>
      <c r="R32" s="14"/>
    </row>
    <row r="33" spans="1:18" ht="15" hidden="1" x14ac:dyDescent="0.25">
      <c r="A33" s="15" t="s">
        <v>36</v>
      </c>
      <c r="B33" s="13">
        <f>B31^2</f>
        <v>2.3818678642970759E+21</v>
      </c>
      <c r="C33" s="13"/>
      <c r="D33" s="16" t="s">
        <v>37</v>
      </c>
      <c r="E33" s="23"/>
      <c r="F33" s="23"/>
      <c r="G33" s="23"/>
      <c r="H33" s="24"/>
      <c r="I33" s="24"/>
      <c r="J33" s="24"/>
      <c r="K33" s="14"/>
      <c r="L33" s="25" t="s">
        <v>38</v>
      </c>
      <c r="M33" s="20" t="e">
        <f>B22*I29^3+B23*I29^2+B24*I29+B25</f>
        <v>#NUM!</v>
      </c>
      <c r="N33" s="14"/>
      <c r="O33" s="14"/>
      <c r="P33" s="14"/>
      <c r="Q33" s="14"/>
      <c r="R33" s="14"/>
    </row>
    <row r="34" spans="1:18" ht="15.75" hidden="1" x14ac:dyDescent="0.3">
      <c r="A34" s="15" t="s">
        <v>13</v>
      </c>
      <c r="B34" s="13">
        <f>B32+B33</f>
        <v>-2.8973303389419529E+21</v>
      </c>
      <c r="C34" s="13"/>
      <c r="D34" s="13" t="s">
        <v>39</v>
      </c>
      <c r="E34" s="17" t="s">
        <v>17</v>
      </c>
      <c r="F34" s="17" t="s">
        <v>18</v>
      </c>
      <c r="G34" s="13"/>
      <c r="H34" s="14" t="s">
        <v>40</v>
      </c>
      <c r="I34" s="19" t="s">
        <v>17</v>
      </c>
      <c r="J34" s="19" t="s">
        <v>18</v>
      </c>
      <c r="K34" s="14"/>
      <c r="L34" s="14" t="s">
        <v>41</v>
      </c>
      <c r="M34" s="14" t="e">
        <f>B22*Q30</f>
        <v>#NUM!</v>
      </c>
      <c r="N34" s="14" t="e">
        <f>B22*R30</f>
        <v>#NUM!</v>
      </c>
      <c r="O34" s="14"/>
      <c r="P34" s="14" t="s">
        <v>42</v>
      </c>
      <c r="Q34" s="14" t="e">
        <f>B22*Q31</f>
        <v>#NUM!</v>
      </c>
      <c r="R34" s="14" t="e">
        <f>B22*R31</f>
        <v>#NUM!</v>
      </c>
    </row>
    <row r="35" spans="1:18" ht="15.75" hidden="1" x14ac:dyDescent="0.3">
      <c r="A35" s="15" t="s">
        <v>43</v>
      </c>
      <c r="B35" s="13" t="e">
        <f>SQRT(B34)</f>
        <v>#NUM!</v>
      </c>
      <c r="C35" s="13"/>
      <c r="D35" s="15" t="s">
        <v>44</v>
      </c>
      <c r="E35" s="17" t="e">
        <f>IF(I29&gt;0,"+","-")</f>
        <v>#NUM!</v>
      </c>
      <c r="F35" s="17"/>
      <c r="G35" s="13"/>
      <c r="H35" s="21" t="s">
        <v>44</v>
      </c>
      <c r="I35" s="14" t="e">
        <f>FIXED(ABS(I29),C93,TRUE)</f>
        <v>#NUM!</v>
      </c>
      <c r="J35" s="14"/>
      <c r="K35" s="14"/>
      <c r="L35" s="14" t="s">
        <v>45</v>
      </c>
      <c r="M35" s="14" t="e">
        <f>B23*M30</f>
        <v>#NUM!</v>
      </c>
      <c r="N35" s="14" t="e">
        <f>B23*N30</f>
        <v>#NUM!</v>
      </c>
      <c r="O35" s="14"/>
      <c r="P35" s="14" t="s">
        <v>46</v>
      </c>
      <c r="Q35" s="14" t="e">
        <f>B23*M31</f>
        <v>#NUM!</v>
      </c>
      <c r="R35" s="14" t="e">
        <f>B23*N31</f>
        <v>#NUM!</v>
      </c>
    </row>
    <row r="36" spans="1:18" ht="15.75" hidden="1" x14ac:dyDescent="0.3">
      <c r="A36" s="15" t="s">
        <v>47</v>
      </c>
      <c r="B36" s="13" t="e">
        <f>(-B31+B35)^(1/3)</f>
        <v>#NUM!</v>
      </c>
      <c r="C36" s="13"/>
      <c r="D36" s="15" t="s">
        <v>48</v>
      </c>
      <c r="E36" s="17" t="e">
        <f>IF(I30&gt;0,"+","-")</f>
        <v>#NUM!</v>
      </c>
      <c r="F36" s="17" t="e">
        <f>IF(J30&gt;0,"+","-")</f>
        <v>#NUM!</v>
      </c>
      <c r="G36" s="13"/>
      <c r="H36" s="21" t="s">
        <v>48</v>
      </c>
      <c r="I36" s="14" t="e">
        <f>FIXED(ABS(I30),C93,TRUE)</f>
        <v>#NUM!</v>
      </c>
      <c r="J36" s="14" t="e">
        <f>FIXED(ABS(J30),C93,TRUE)</f>
        <v>#NUM!</v>
      </c>
      <c r="K36" s="14"/>
      <c r="L36" s="14" t="s">
        <v>49</v>
      </c>
      <c r="M36" s="14" t="e">
        <f>B24*I30</f>
        <v>#NUM!</v>
      </c>
      <c r="N36" s="14" t="e">
        <f>B24*J30</f>
        <v>#NUM!</v>
      </c>
      <c r="O36" s="14"/>
      <c r="P36" s="14" t="s">
        <v>50</v>
      </c>
      <c r="Q36" s="14" t="e">
        <f>B24*I31</f>
        <v>#NUM!</v>
      </c>
      <c r="R36" s="14" t="e">
        <f>B24*J31</f>
        <v>#NUM!</v>
      </c>
    </row>
    <row r="37" spans="1:18" hidden="1" x14ac:dyDescent="0.2">
      <c r="A37" s="15" t="s">
        <v>51</v>
      </c>
      <c r="B37" s="13" t="e">
        <f>(-B31-B35)^(1/3)</f>
        <v>#NUM!</v>
      </c>
      <c r="C37" s="13"/>
      <c r="D37" s="15" t="s">
        <v>52</v>
      </c>
      <c r="E37" s="17" t="e">
        <f>IF(I31&gt;0,"+","-")</f>
        <v>#NUM!</v>
      </c>
      <c r="F37" s="17" t="e">
        <f>IF(J31&gt;0,"+","-")</f>
        <v>#NUM!</v>
      </c>
      <c r="G37" s="13"/>
      <c r="H37" s="21" t="s">
        <v>52</v>
      </c>
      <c r="I37" s="14" t="e">
        <f>FIXED(ABS(I31),C93,TRUE)</f>
        <v>#NUM!</v>
      </c>
      <c r="J37" s="14" t="e">
        <f>FIXED(ABS(J31),C93,TRUE)</f>
        <v>#NUM!</v>
      </c>
      <c r="K37" s="14"/>
      <c r="L37" s="14" t="s">
        <v>53</v>
      </c>
      <c r="M37" s="14">
        <f>B25</f>
        <v>-18215</v>
      </c>
      <c r="N37" s="14"/>
      <c r="O37" s="14"/>
      <c r="P37" s="14" t="s">
        <v>53</v>
      </c>
      <c r="Q37" s="14">
        <f>B25</f>
        <v>-18215</v>
      </c>
      <c r="R37" s="14"/>
    </row>
    <row r="38" spans="1:18" ht="14.25" hidden="1" x14ac:dyDescent="0.25">
      <c r="A38" s="15" t="s">
        <v>54</v>
      </c>
      <c r="B38" s="13" t="e">
        <f>B36+B37</f>
        <v>#NUM!</v>
      </c>
      <c r="C38" s="13"/>
      <c r="D38" s="13"/>
      <c r="E38" s="13"/>
      <c r="F38" s="13"/>
      <c r="G38" s="13"/>
      <c r="H38" s="14"/>
      <c r="I38" s="14"/>
      <c r="J38" s="14"/>
      <c r="K38" s="14"/>
      <c r="L38" s="25" t="s">
        <v>55</v>
      </c>
      <c r="M38" s="20" t="e">
        <f>SUM(M34:M37)</f>
        <v>#NUM!</v>
      </c>
      <c r="N38" s="20" t="e">
        <f>SUM(N34:N37)</f>
        <v>#NUM!</v>
      </c>
      <c r="O38" s="14"/>
      <c r="P38" s="25" t="s">
        <v>56</v>
      </c>
      <c r="Q38" s="20" t="e">
        <f>SUM(Q34:Q37)</f>
        <v>#NUM!</v>
      </c>
      <c r="R38" s="20" t="e">
        <f>SUM(R34:R37)</f>
        <v>#NUM!</v>
      </c>
    </row>
    <row r="39" spans="1:18" hidden="1" x14ac:dyDescent="0.2">
      <c r="A39" s="15" t="s">
        <v>57</v>
      </c>
      <c r="B39" s="13" t="e">
        <f>0.5*B38</f>
        <v>#NUM!</v>
      </c>
      <c r="C39" s="13"/>
      <c r="D39" s="13"/>
      <c r="E39" s="13"/>
      <c r="F39" s="11" t="s">
        <v>58</v>
      </c>
      <c r="G39" s="13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idden="1" x14ac:dyDescent="0.2">
      <c r="A40" s="15" t="s">
        <v>59</v>
      </c>
      <c r="B40" s="13" t="e">
        <f>0.5*(B36-B37)</f>
        <v>#NUM!</v>
      </c>
      <c r="C40" s="13"/>
      <c r="D40" s="13"/>
      <c r="E40" s="13"/>
      <c r="F40" s="13" t="s">
        <v>23</v>
      </c>
      <c r="G40" s="13" t="e">
        <f>E35&amp;I35</f>
        <v>#NUM!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hidden="1" x14ac:dyDescent="0.2">
      <c r="A41" s="13"/>
      <c r="B41" s="13"/>
      <c r="C41" s="13"/>
      <c r="D41" s="13"/>
      <c r="E41" s="13"/>
      <c r="F41" s="13" t="s">
        <v>26</v>
      </c>
      <c r="G41" s="13" t="e">
        <f>E36&amp;I36&amp;F36&amp;J36&amp;"j"</f>
        <v>#NUM!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hidden="1" x14ac:dyDescent="0.2">
      <c r="A42" s="26"/>
      <c r="B42" s="26"/>
      <c r="C42" s="26"/>
      <c r="D42" s="26"/>
      <c r="E42" s="26"/>
      <c r="F42" s="26" t="s">
        <v>31</v>
      </c>
      <c r="G42" s="26" t="e">
        <f>E37&amp;I37&amp;F37&amp;J37&amp;"j"</f>
        <v>#NUM!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ht="13.5" hidden="1" thickBot="1" x14ac:dyDescent="0.25">
      <c r="A43" s="28"/>
      <c r="B43" s="28"/>
      <c r="C43" s="28"/>
      <c r="D43" s="28"/>
      <c r="E43" s="28"/>
      <c r="F43" s="28"/>
      <c r="G43" s="28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hidden="1" x14ac:dyDescent="0.2">
      <c r="A44" s="30" t="s">
        <v>60</v>
      </c>
      <c r="B44" s="31"/>
      <c r="C44" s="31"/>
      <c r="D44" s="31"/>
      <c r="E44" s="31"/>
      <c r="F44" s="31"/>
      <c r="G44" s="31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ht="15.75" hidden="1" x14ac:dyDescent="0.3">
      <c r="A45" s="13" t="s">
        <v>15</v>
      </c>
      <c r="B45" s="13"/>
      <c r="C45" s="13"/>
      <c r="D45" s="15" t="s">
        <v>61</v>
      </c>
      <c r="E45" s="13">
        <f>2*SQRT(B47)*COS(B52)</f>
        <v>8024.9625972593058</v>
      </c>
      <c r="F45" s="15" t="s">
        <v>62</v>
      </c>
      <c r="G45" s="13">
        <f>E45-(B23)/(3*B22)</f>
        <v>10375.352786779931</v>
      </c>
      <c r="H45" s="14"/>
      <c r="I45" s="14"/>
      <c r="J45" s="14"/>
      <c r="K45" s="14"/>
      <c r="L45" s="20" t="s">
        <v>63</v>
      </c>
      <c r="M45" s="14"/>
      <c r="N45" s="14"/>
      <c r="O45" s="14"/>
      <c r="P45" s="14"/>
      <c r="Q45" s="14"/>
      <c r="R45" s="14"/>
    </row>
    <row r="46" spans="1:18" ht="15.75" hidden="1" x14ac:dyDescent="0.3">
      <c r="A46" s="13" t="s">
        <v>29</v>
      </c>
      <c r="B46" s="13">
        <f>B31</f>
        <v>-48804383658.612839</v>
      </c>
      <c r="C46" s="13"/>
      <c r="D46" s="15" t="s">
        <v>64</v>
      </c>
      <c r="E46" s="13">
        <f>-2*SQRT(B47)*COS(B53)</f>
        <v>-5996.6343199686053</v>
      </c>
      <c r="F46" s="15" t="s">
        <v>65</v>
      </c>
      <c r="G46" s="33">
        <f>E46-(B23)/(3*B22)</f>
        <v>-3646.2441304479803</v>
      </c>
      <c r="H46" s="14"/>
      <c r="I46" s="14"/>
      <c r="J46" s="14"/>
      <c r="K46" s="14"/>
      <c r="L46" s="14" t="s">
        <v>66</v>
      </c>
      <c r="M46" s="34">
        <f>B22*G45^3+B23*G45^2+B24*G45+B25</f>
        <v>1.1641532182693481E-10</v>
      </c>
      <c r="N46" s="14"/>
      <c r="O46" s="14"/>
      <c r="P46" s="14"/>
      <c r="Q46" s="14"/>
      <c r="R46" s="14"/>
    </row>
    <row r="47" spans="1:18" ht="15.75" hidden="1" x14ac:dyDescent="0.3">
      <c r="A47" s="35" t="s">
        <v>67</v>
      </c>
      <c r="B47" s="13">
        <f>ABS(B28)/3</f>
        <v>17412293.909215536</v>
      </c>
      <c r="C47" s="13"/>
      <c r="D47" s="15" t="s">
        <v>68</v>
      </c>
      <c r="E47" s="13">
        <f>-2*SQRT(B47)*COS(B54)</f>
        <v>-2028.3282772907016</v>
      </c>
      <c r="F47" s="15" t="s">
        <v>69</v>
      </c>
      <c r="G47" s="13">
        <f>E47-(B23)/(3*B22)</f>
        <v>322.06191222992334</v>
      </c>
      <c r="H47" s="14"/>
      <c r="I47" s="14"/>
      <c r="J47" s="14"/>
      <c r="K47" s="14"/>
      <c r="L47" s="14" t="s">
        <v>70</v>
      </c>
      <c r="M47" s="34">
        <f>B22*G46^3+B23*G46^2+B24*G46+B25</f>
        <v>0</v>
      </c>
      <c r="N47" s="14"/>
      <c r="O47" s="14"/>
      <c r="P47" s="14"/>
      <c r="Q47" s="14"/>
      <c r="R47" s="14"/>
    </row>
    <row r="48" spans="1:18" ht="15.75" hidden="1" x14ac:dyDescent="0.3">
      <c r="A48" s="35" t="s">
        <v>71</v>
      </c>
      <c r="B48" s="13">
        <f>B47^3</f>
        <v>5.2791982032390288E+21</v>
      </c>
      <c r="C48" s="13"/>
      <c r="D48" s="13"/>
      <c r="E48" s="13"/>
      <c r="F48" s="13"/>
      <c r="G48" s="13"/>
      <c r="H48" s="14"/>
      <c r="I48" s="14"/>
      <c r="J48" s="14"/>
      <c r="K48" s="14"/>
      <c r="L48" s="14" t="s">
        <v>72</v>
      </c>
      <c r="M48" s="34">
        <f>B22*G47^3+B23*G47^2+B24*G47+B25</f>
        <v>0</v>
      </c>
      <c r="N48" s="14"/>
      <c r="O48" s="14"/>
      <c r="P48" s="14"/>
      <c r="Q48" s="14"/>
      <c r="R48" s="14"/>
    </row>
    <row r="49" spans="1:18" ht="14.25" hidden="1" x14ac:dyDescent="0.2">
      <c r="A49" s="13" t="s">
        <v>73</v>
      </c>
      <c r="B49" s="13">
        <f>SQRT(B48)</f>
        <v>72658091106.490189</v>
      </c>
      <c r="C49" s="13"/>
      <c r="D49" s="16" t="s">
        <v>74</v>
      </c>
      <c r="E49" s="16"/>
      <c r="F49" s="16"/>
      <c r="G49" s="16"/>
      <c r="H49" s="36"/>
      <c r="I49" s="36"/>
      <c r="J49" s="36"/>
      <c r="K49" s="14"/>
      <c r="L49" s="14"/>
      <c r="M49" s="14"/>
      <c r="N49" s="14"/>
      <c r="O49" s="14"/>
      <c r="P49" s="14"/>
      <c r="Q49" s="14"/>
      <c r="R49" s="14"/>
    </row>
    <row r="50" spans="1:18" hidden="1" x14ac:dyDescent="0.2">
      <c r="A50" s="37" t="s">
        <v>75</v>
      </c>
      <c r="B50" s="38">
        <f>ACOS(-B46/B49)</f>
        <v>0.83429621822323463</v>
      </c>
      <c r="C50" s="13"/>
      <c r="D50" s="13" t="s">
        <v>76</v>
      </c>
      <c r="E50" s="13"/>
      <c r="F50" s="13"/>
      <c r="G50" s="13" t="s">
        <v>40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1:18" ht="15.75" hidden="1" x14ac:dyDescent="0.3">
      <c r="A51" s="13" t="s">
        <v>77</v>
      </c>
      <c r="B51" s="13">
        <f>RADIANS(60)</f>
        <v>1.0471975511965976</v>
      </c>
      <c r="C51" s="13"/>
      <c r="D51" s="15" t="s">
        <v>78</v>
      </c>
      <c r="E51" s="13" t="str">
        <f>IF(G45&gt;0,"+","-")</f>
        <v>+</v>
      </c>
      <c r="F51" s="13"/>
      <c r="G51" s="15" t="s">
        <v>79</v>
      </c>
      <c r="H51" s="14" t="str">
        <f>FIXED(ABS(G45),$C$93,TRUE)</f>
        <v>10375.35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8" ht="15.75" hidden="1" x14ac:dyDescent="0.3">
      <c r="A52" s="37" t="s">
        <v>80</v>
      </c>
      <c r="B52" s="13">
        <f>B50/3</f>
        <v>0.27809873940774488</v>
      </c>
      <c r="C52" s="13"/>
      <c r="D52" s="15" t="s">
        <v>81</v>
      </c>
      <c r="E52" s="13" t="str">
        <f>IF(G46&gt;0,"+","-")</f>
        <v>-</v>
      </c>
      <c r="F52" s="13"/>
      <c r="G52" s="15" t="s">
        <v>82</v>
      </c>
      <c r="H52" s="14" t="str">
        <f>FIXED(ABS(G46),$C$93,TRUE)</f>
        <v>3646.24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1:18" ht="15.75" hidden="1" x14ac:dyDescent="0.3">
      <c r="A53" s="37" t="s">
        <v>83</v>
      </c>
      <c r="B53" s="35">
        <f>(B50/3)-B51</f>
        <v>-0.76909881178885275</v>
      </c>
      <c r="C53" s="13"/>
      <c r="D53" s="15" t="s">
        <v>84</v>
      </c>
      <c r="E53" s="13" t="str">
        <f>IF(G47&gt;0,"+","-")</f>
        <v>+</v>
      </c>
      <c r="F53" s="13"/>
      <c r="G53" s="15" t="s">
        <v>85</v>
      </c>
      <c r="H53" s="14" t="str">
        <f>FIXED(ABS(G47),$C$93,TRUE)</f>
        <v>322.06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8" ht="14.25" hidden="1" x14ac:dyDescent="0.2">
      <c r="A54" s="37" t="s">
        <v>86</v>
      </c>
      <c r="B54" s="35">
        <f>(B50/3)+B51</f>
        <v>1.3252962906043426</v>
      </c>
      <c r="C54" s="13"/>
      <c r="D54" s="13"/>
      <c r="E54" s="13"/>
      <c r="F54" s="13"/>
      <c r="G54" s="13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18" hidden="1" x14ac:dyDescent="0.2">
      <c r="A55" s="13"/>
      <c r="B55" s="13"/>
      <c r="C55" s="13"/>
      <c r="D55" s="11" t="s">
        <v>87</v>
      </c>
      <c r="E55" s="13"/>
      <c r="F55" s="13"/>
      <c r="G55" s="13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1:18" ht="15.75" hidden="1" x14ac:dyDescent="0.3">
      <c r="A56" s="13"/>
      <c r="B56" s="13"/>
      <c r="C56" s="13"/>
      <c r="D56" s="15" t="s">
        <v>62</v>
      </c>
      <c r="E56" s="15" t="str">
        <f>E51&amp;H51</f>
        <v>+10375.35</v>
      </c>
      <c r="F56" s="13"/>
      <c r="G56" s="13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18" ht="15.75" hidden="1" x14ac:dyDescent="0.3">
      <c r="A57" s="13"/>
      <c r="B57" s="13"/>
      <c r="C57" s="13"/>
      <c r="D57" s="15" t="s">
        <v>65</v>
      </c>
      <c r="E57" s="15" t="str">
        <f>E52&amp;H52</f>
        <v>-3646.24</v>
      </c>
      <c r="F57" s="13"/>
      <c r="G57" s="13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1:18" ht="15.75" hidden="1" x14ac:dyDescent="0.3">
      <c r="A58" s="13"/>
      <c r="B58" s="13"/>
      <c r="C58" s="13"/>
      <c r="D58" s="15" t="s">
        <v>69</v>
      </c>
      <c r="E58" s="15" t="str">
        <f>E53&amp;H53</f>
        <v>+322.06</v>
      </c>
      <c r="F58" s="13"/>
      <c r="G58" s="13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18" hidden="1" x14ac:dyDescent="0.2"/>
    <row r="60" spans="1:18" hidden="1" x14ac:dyDescent="0.2">
      <c r="A60" s="39"/>
      <c r="B60" s="39"/>
      <c r="C60" s="39"/>
      <c r="D60" s="39"/>
      <c r="E60" s="39"/>
      <c r="F60" s="39"/>
      <c r="G60" s="39"/>
    </row>
    <row r="61" spans="1:18" hidden="1" x14ac:dyDescent="0.2">
      <c r="A61" s="39"/>
      <c r="B61" s="39"/>
      <c r="C61" s="39"/>
      <c r="D61" s="39"/>
      <c r="E61" s="39"/>
      <c r="F61" s="39"/>
      <c r="G61" s="39"/>
    </row>
    <row r="62" spans="1:18" hidden="1" x14ac:dyDescent="0.2">
      <c r="A62" s="39"/>
      <c r="B62" s="39"/>
      <c r="C62" s="39"/>
      <c r="D62" s="39"/>
      <c r="E62" s="39"/>
      <c r="F62" s="39"/>
      <c r="G62" s="39"/>
    </row>
    <row r="63" spans="1:18" hidden="1" x14ac:dyDescent="0.2">
      <c r="A63" s="39"/>
      <c r="B63" s="39"/>
      <c r="C63" s="39"/>
      <c r="D63" s="39"/>
      <c r="E63" s="39"/>
      <c r="F63" s="39"/>
      <c r="G63" s="39"/>
    </row>
    <row r="64" spans="1:18" hidden="1" x14ac:dyDescent="0.2">
      <c r="A64" s="39"/>
      <c r="B64" s="39"/>
      <c r="C64" s="39"/>
      <c r="D64" s="39"/>
      <c r="E64" s="39"/>
      <c r="F64" s="39"/>
      <c r="G64" s="39"/>
    </row>
    <row r="65" spans="1:7" hidden="1" x14ac:dyDescent="0.2">
      <c r="A65" s="39"/>
      <c r="B65" s="39"/>
      <c r="C65" s="39"/>
      <c r="D65" s="39"/>
      <c r="E65" s="39"/>
      <c r="F65" s="39"/>
      <c r="G65" s="39"/>
    </row>
    <row r="66" spans="1:7" hidden="1" x14ac:dyDescent="0.2">
      <c r="A66" s="39"/>
      <c r="B66" s="39"/>
      <c r="C66" s="39"/>
      <c r="D66" s="39"/>
      <c r="E66" s="39"/>
      <c r="F66" s="39"/>
      <c r="G66" s="39"/>
    </row>
    <row r="67" spans="1:7" hidden="1" x14ac:dyDescent="0.2">
      <c r="A67" s="39"/>
      <c r="B67" s="39"/>
      <c r="C67" s="39"/>
      <c r="D67" s="39"/>
      <c r="E67" s="39"/>
      <c r="F67" s="39"/>
      <c r="G67" s="39"/>
    </row>
    <row r="68" spans="1:7" hidden="1" x14ac:dyDescent="0.2">
      <c r="A68" s="39"/>
      <c r="B68" s="39"/>
      <c r="C68" s="39"/>
      <c r="D68" s="39"/>
      <c r="E68" s="39"/>
      <c r="F68" s="39"/>
      <c r="G68" s="39"/>
    </row>
    <row r="69" spans="1:7" hidden="1" x14ac:dyDescent="0.2">
      <c r="A69" s="39"/>
      <c r="B69" s="39"/>
      <c r="C69" s="39"/>
      <c r="D69" s="39"/>
      <c r="E69" s="39"/>
      <c r="F69" s="39"/>
      <c r="G69" s="39"/>
    </row>
    <row r="70" spans="1:7" hidden="1" x14ac:dyDescent="0.2">
      <c r="A70" s="39"/>
      <c r="B70" s="39"/>
      <c r="C70" s="39"/>
      <c r="D70" s="39"/>
      <c r="E70" s="39"/>
      <c r="F70" s="39"/>
      <c r="G70" s="39"/>
    </row>
    <row r="71" spans="1:7" hidden="1" x14ac:dyDescent="0.2">
      <c r="A71" s="39"/>
      <c r="B71" s="39"/>
      <c r="C71" s="39"/>
      <c r="D71" s="39"/>
      <c r="E71" s="39"/>
      <c r="F71" s="39"/>
      <c r="G71" s="39"/>
    </row>
    <row r="72" spans="1:7" hidden="1" x14ac:dyDescent="0.2">
      <c r="A72" s="39"/>
      <c r="B72" s="39"/>
      <c r="C72" s="39"/>
      <c r="D72" s="39"/>
      <c r="E72" s="39"/>
      <c r="F72" s="39"/>
      <c r="G72" s="39"/>
    </row>
    <row r="73" spans="1:7" hidden="1" x14ac:dyDescent="0.2">
      <c r="A73" s="39"/>
      <c r="B73" s="39"/>
      <c r="C73" s="39"/>
      <c r="D73" s="39"/>
      <c r="E73" s="39"/>
      <c r="F73" s="39"/>
      <c r="G73" s="39"/>
    </row>
    <row r="74" spans="1:7" hidden="1" x14ac:dyDescent="0.2">
      <c r="A74" s="39"/>
      <c r="B74" s="39"/>
      <c r="C74" s="39"/>
      <c r="D74" s="39"/>
      <c r="E74" s="39"/>
      <c r="F74" s="39"/>
      <c r="G74" s="39"/>
    </row>
    <row r="75" spans="1:7" hidden="1" x14ac:dyDescent="0.2">
      <c r="A75" s="39"/>
      <c r="B75" s="39"/>
      <c r="C75" s="39"/>
      <c r="D75" s="39"/>
      <c r="E75" s="39"/>
      <c r="F75" s="39"/>
      <c r="G75" s="39"/>
    </row>
    <row r="76" spans="1:7" hidden="1" x14ac:dyDescent="0.2">
      <c r="A76" s="39"/>
      <c r="B76" s="39"/>
      <c r="C76" s="39"/>
      <c r="D76" s="39"/>
      <c r="E76" s="39"/>
      <c r="F76" s="39"/>
      <c r="G76" s="39"/>
    </row>
    <row r="77" spans="1:7" hidden="1" x14ac:dyDescent="0.2">
      <c r="A77" s="39"/>
      <c r="B77" s="39"/>
      <c r="C77" s="39"/>
      <c r="D77" s="39"/>
      <c r="E77" s="39"/>
      <c r="F77" s="39"/>
      <c r="G77" s="39"/>
    </row>
    <row r="78" spans="1:7" hidden="1" x14ac:dyDescent="0.2">
      <c r="A78" s="39"/>
      <c r="B78" s="39"/>
      <c r="C78" s="39"/>
      <c r="D78" s="39"/>
      <c r="E78" s="39"/>
      <c r="F78" s="39"/>
      <c r="G78" s="39"/>
    </row>
    <row r="79" spans="1:7" hidden="1" x14ac:dyDescent="0.2">
      <c r="A79" s="39"/>
      <c r="B79" s="39"/>
      <c r="C79" s="39"/>
      <c r="D79" s="39"/>
      <c r="E79" s="39"/>
      <c r="F79" s="39"/>
      <c r="G79" s="39"/>
    </row>
    <row r="80" spans="1:7" hidden="1" x14ac:dyDescent="0.2">
      <c r="A80" s="39"/>
      <c r="B80" s="39"/>
      <c r="C80" s="39"/>
      <c r="D80" s="39"/>
      <c r="E80" s="39"/>
      <c r="F80" s="39"/>
      <c r="G80" s="39"/>
    </row>
    <row r="81" spans="1:8" hidden="1" x14ac:dyDescent="0.2">
      <c r="A81" s="39"/>
      <c r="B81" s="39"/>
      <c r="C81" s="39"/>
      <c r="D81" s="39"/>
      <c r="E81" s="39"/>
      <c r="F81" s="39"/>
      <c r="G81" s="39"/>
    </row>
    <row r="82" spans="1:8" hidden="1" x14ac:dyDescent="0.2">
      <c r="A82" s="39"/>
      <c r="B82" s="39"/>
      <c r="C82" s="39"/>
      <c r="D82" s="39"/>
      <c r="E82" s="39"/>
      <c r="F82" s="39"/>
      <c r="G82" s="39"/>
    </row>
    <row r="83" spans="1:8" hidden="1" x14ac:dyDescent="0.2">
      <c r="A83" s="39"/>
      <c r="B83" s="39"/>
      <c r="C83" s="39"/>
      <c r="D83" s="39"/>
      <c r="E83" s="39"/>
      <c r="F83" s="39"/>
      <c r="G83" s="39"/>
    </row>
    <row r="84" spans="1:8" hidden="1" x14ac:dyDescent="0.2">
      <c r="A84" s="39"/>
      <c r="B84" s="39"/>
      <c r="C84" s="39"/>
      <c r="D84" s="39"/>
      <c r="E84" s="39"/>
      <c r="F84" s="39"/>
      <c r="G84" s="39"/>
    </row>
    <row r="85" spans="1:8" x14ac:dyDescent="0.2">
      <c r="A85" s="39"/>
      <c r="B85" s="39"/>
      <c r="C85" s="39"/>
      <c r="D85" s="39"/>
      <c r="E85" s="39"/>
      <c r="F85" s="39"/>
      <c r="G85" s="39"/>
    </row>
    <row r="86" spans="1:8" ht="21" x14ac:dyDescent="0.25">
      <c r="A86" s="40" t="s">
        <v>98</v>
      </c>
      <c r="B86" s="40"/>
      <c r="C86" s="40"/>
      <c r="D86" s="40"/>
      <c r="E86" s="40"/>
      <c r="F86" s="40"/>
      <c r="G86" s="40"/>
    </row>
    <row r="87" spans="1:8" x14ac:dyDescent="0.2">
      <c r="A87" s="7" t="s">
        <v>7</v>
      </c>
      <c r="B87" s="7"/>
      <c r="C87" s="7"/>
      <c r="D87" s="7"/>
      <c r="E87" s="8"/>
      <c r="F87" s="8"/>
      <c r="G87" s="8"/>
      <c r="H87" s="8"/>
    </row>
    <row r="88" spans="1:8" ht="13.5" thickBot="1" x14ac:dyDescent="0.25"/>
    <row r="89" spans="1:8" x14ac:dyDescent="0.2">
      <c r="B89" s="41" t="s">
        <v>10</v>
      </c>
      <c r="C89" s="42">
        <f>B15</f>
        <v>-1.4949999999999999E-6</v>
      </c>
    </row>
    <row r="90" spans="1:8" x14ac:dyDescent="0.2">
      <c r="B90" s="43" t="s">
        <v>11</v>
      </c>
      <c r="C90" s="44">
        <f>C15</f>
        <v>1.0541500000000002E-2</v>
      </c>
    </row>
    <row r="91" spans="1:8" x14ac:dyDescent="0.2">
      <c r="B91" s="43" t="s">
        <v>12</v>
      </c>
      <c r="C91" s="44">
        <f>D15</f>
        <v>53.317500000000003</v>
      </c>
    </row>
    <row r="92" spans="1:8" ht="13.5" thickBot="1" x14ac:dyDescent="0.25">
      <c r="B92" s="45" t="s">
        <v>13</v>
      </c>
      <c r="C92" s="46">
        <f>E15</f>
        <v>-18215</v>
      </c>
    </row>
    <row r="93" spans="1:8" ht="13.5" thickBot="1" x14ac:dyDescent="0.25">
      <c r="B93" s="47" t="s">
        <v>88</v>
      </c>
      <c r="C93" s="48">
        <v>2</v>
      </c>
      <c r="D93" s="49" t="s">
        <v>89</v>
      </c>
    </row>
    <row r="94" spans="1:8" ht="13.5" thickBot="1" x14ac:dyDescent="0.25"/>
    <row r="95" spans="1:8" ht="13.5" thickBot="1" x14ac:dyDescent="0.25">
      <c r="A95" s="50"/>
      <c r="C95" s="51" t="s">
        <v>90</v>
      </c>
      <c r="D95" s="52" t="s">
        <v>91</v>
      </c>
    </row>
    <row r="96" spans="1:8" ht="19.5" thickTop="1" thickBot="1" x14ac:dyDescent="0.4">
      <c r="A96" s="50"/>
      <c r="B96" s="53" t="s">
        <v>105</v>
      </c>
      <c r="C96" s="54">
        <f t="shared" ref="C96:D98" si="0">IF($B$34&lt;0,G45,I29)</f>
        <v>10375.352786779931</v>
      </c>
      <c r="D96" s="55">
        <f t="shared" si="0"/>
        <v>0</v>
      </c>
    </row>
    <row r="97" spans="1:6" ht="19.5" thickTop="1" thickBot="1" x14ac:dyDescent="0.4">
      <c r="A97" s="50"/>
      <c r="B97" s="53" t="s">
        <v>106</v>
      </c>
      <c r="C97" s="56">
        <f t="shared" si="0"/>
        <v>-3646.2441304479803</v>
      </c>
      <c r="D97" s="57">
        <f t="shared" si="0"/>
        <v>0</v>
      </c>
    </row>
    <row r="98" spans="1:6" ht="19.5" thickTop="1" thickBot="1" x14ac:dyDescent="0.4">
      <c r="A98" s="50"/>
      <c r="B98" s="53" t="s">
        <v>104</v>
      </c>
      <c r="C98" s="58">
        <f t="shared" si="0"/>
        <v>322.06191222992334</v>
      </c>
      <c r="D98" s="59">
        <f t="shared" si="0"/>
        <v>0</v>
      </c>
    </row>
    <row r="99" spans="1:6" ht="13.5" thickTop="1" x14ac:dyDescent="0.2"/>
    <row r="100" spans="1:6" ht="13.5" thickBot="1" x14ac:dyDescent="0.25">
      <c r="B100" s="60" t="s">
        <v>92</v>
      </c>
    </row>
    <row r="101" spans="1:6" ht="19.5" thickTop="1" thickBot="1" x14ac:dyDescent="0.4">
      <c r="B101" s="53" t="s">
        <v>102</v>
      </c>
      <c r="C101" s="72" t="str">
        <f>IF(B34&lt;0,E56,G40)</f>
        <v>+10375.35</v>
      </c>
      <c r="D101" s="73"/>
      <c r="E101" s="73"/>
      <c r="F101" s="74"/>
    </row>
    <row r="102" spans="1:6" ht="19.5" thickTop="1" thickBot="1" x14ac:dyDescent="0.4">
      <c r="B102" s="53" t="s">
        <v>103</v>
      </c>
      <c r="C102" s="75" t="str">
        <f>IF(B34&lt;0,E57,G41)</f>
        <v>-3646.24</v>
      </c>
      <c r="D102" s="75"/>
      <c r="E102" s="75"/>
      <c r="F102" s="76"/>
    </row>
    <row r="103" spans="1:6" ht="19.5" thickTop="1" thickBot="1" x14ac:dyDescent="0.4">
      <c r="B103" s="53" t="s">
        <v>104</v>
      </c>
      <c r="C103" s="77" t="str">
        <f>IF(B34&lt;0,E58,G42)</f>
        <v>+322.06</v>
      </c>
      <c r="D103" s="77"/>
      <c r="E103" s="77"/>
      <c r="F103" s="78"/>
    </row>
    <row r="104" spans="1:6" ht="13.5" thickTop="1" x14ac:dyDescent="0.2"/>
    <row r="106" spans="1:6" x14ac:dyDescent="0.2">
      <c r="B106" s="9" t="s">
        <v>96</v>
      </c>
      <c r="C106" s="9"/>
      <c r="D106" s="9"/>
      <c r="E106" s="9"/>
    </row>
    <row r="108" spans="1:6" x14ac:dyDescent="0.2">
      <c r="B108" s="61" t="s">
        <v>95</v>
      </c>
      <c r="C108" s="61"/>
      <c r="D108" s="61"/>
      <c r="E108" s="61"/>
      <c r="F108" s="61"/>
    </row>
  </sheetData>
  <sheetProtection selectLockedCells="1"/>
  <mergeCells count="3">
    <mergeCell ref="C101:F101"/>
    <mergeCell ref="C102:F102"/>
    <mergeCell ref="C103:F103"/>
  </mergeCells>
  <pageMargins left="0.75" right="0.75" top="1" bottom="1" header="0.5" footer="0.5"/>
  <pageSetup paperSize="9" orientation="portrait" horizontalDpi="150" verticalDpi="15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Temperatura de equilibrio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MAAL</dc:creator>
  <cp:lastModifiedBy>drjva</cp:lastModifiedBy>
  <dcterms:created xsi:type="dcterms:W3CDTF">2012-04-25T04:02:48Z</dcterms:created>
  <dcterms:modified xsi:type="dcterms:W3CDTF">2019-09-24T19:17:54Z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d2f10f16-5ec6-48e0-be38-8f1709e8197e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